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A24" i="1" l="1"/>
  <c r="AV24" i="1"/>
  <c r="BA25" i="1"/>
  <c r="AY25" i="1"/>
  <c r="AU25" i="1"/>
  <c r="AK25" i="1"/>
  <c r="AX25" i="1" l="1"/>
  <c r="AV25" i="1"/>
  <c r="AY24" i="1"/>
  <c r="AW24" i="1"/>
  <c r="AU24" i="1"/>
  <c r="AU105" i="1"/>
  <c r="AV105" i="1"/>
  <c r="AW105" i="1"/>
  <c r="AX105" i="1"/>
  <c r="AY105" i="1"/>
  <c r="AZ105" i="1"/>
  <c r="BA105" i="1"/>
  <c r="BB105" i="1"/>
  <c r="BC105" i="1"/>
  <c r="AP24" i="1"/>
  <c r="H28" i="1" l="1"/>
  <c r="I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27" i="1"/>
  <c r="I27" i="1"/>
  <c r="U25" i="1"/>
  <c r="P25" i="1"/>
  <c r="V25" i="1"/>
  <c r="I26" i="1" l="1"/>
  <c r="Y35" i="1"/>
  <c r="Y32" i="1"/>
  <c r="Y30" i="1"/>
  <c r="Y29" i="1"/>
  <c r="Y25" i="1"/>
  <c r="Y24" i="1"/>
  <c r="Y27" i="1"/>
  <c r="F42" i="1"/>
  <c r="K25" i="1"/>
  <c r="J25" i="1" s="1"/>
  <c r="Y51" i="1"/>
  <c r="D136" i="1"/>
  <c r="AF118" i="1"/>
  <c r="AG118" i="1"/>
  <c r="AH118" i="1"/>
  <c r="AI118" i="1"/>
  <c r="AJ118" i="1"/>
  <c r="AO118" i="1"/>
  <c r="AT118" i="1"/>
  <c r="J118" i="1"/>
  <c r="E118" i="1" s="1"/>
  <c r="O118" i="1"/>
  <c r="F118" i="1"/>
  <c r="G118" i="1"/>
  <c r="H118" i="1"/>
  <c r="I118" i="1"/>
  <c r="AF65" i="1"/>
  <c r="AG65" i="1"/>
  <c r="AH65" i="1"/>
  <c r="AI65" i="1"/>
  <c r="AJ65" i="1"/>
  <c r="AO65" i="1"/>
  <c r="AF66" i="1"/>
  <c r="AG66" i="1"/>
  <c r="AH66" i="1"/>
  <c r="AI66" i="1"/>
  <c r="AJ66" i="1"/>
  <c r="AO66" i="1"/>
  <c r="E65" i="1"/>
  <c r="F65" i="1"/>
  <c r="G65" i="1"/>
  <c r="H65" i="1"/>
  <c r="I65" i="1"/>
  <c r="E66" i="1"/>
  <c r="F66" i="1"/>
  <c r="G66" i="1"/>
  <c r="H66" i="1"/>
  <c r="I66" i="1"/>
  <c r="AE65" i="1" l="1"/>
  <c r="AE66" i="1"/>
  <c r="AE118" i="1"/>
  <c r="AE32" i="1"/>
  <c r="AF32" i="1"/>
  <c r="AG32" i="1"/>
  <c r="AH32" i="1"/>
  <c r="AI32" i="1"/>
  <c r="AE33" i="1"/>
  <c r="AF33" i="1"/>
  <c r="AG33" i="1"/>
  <c r="AH33" i="1"/>
  <c r="AI33" i="1"/>
  <c r="E32" i="1"/>
  <c r="F32" i="1"/>
  <c r="G32" i="1"/>
  <c r="E33" i="1"/>
  <c r="F33" i="1"/>
  <c r="G33" i="1"/>
  <c r="E56" i="1"/>
  <c r="F56" i="1"/>
  <c r="G56" i="1"/>
  <c r="H56" i="1"/>
  <c r="I56" i="1"/>
  <c r="E57" i="1"/>
  <c r="F57" i="1"/>
  <c r="G57" i="1"/>
  <c r="H57" i="1"/>
  <c r="I57" i="1"/>
  <c r="E58" i="1"/>
  <c r="F58" i="1"/>
  <c r="G58" i="1"/>
  <c r="H58" i="1"/>
  <c r="I58" i="1"/>
  <c r="E59" i="1"/>
  <c r="F59" i="1"/>
  <c r="G59" i="1"/>
  <c r="H59" i="1"/>
  <c r="I59" i="1"/>
  <c r="E60" i="1"/>
  <c r="F60" i="1"/>
  <c r="G60" i="1"/>
  <c r="H60" i="1"/>
  <c r="I60" i="1"/>
  <c r="E61" i="1"/>
  <c r="F61" i="1"/>
  <c r="G61" i="1"/>
  <c r="H61" i="1"/>
  <c r="I61" i="1"/>
  <c r="E62" i="1"/>
  <c r="F62" i="1"/>
  <c r="G62" i="1"/>
  <c r="H62" i="1"/>
  <c r="I62" i="1"/>
  <c r="E63" i="1"/>
  <c r="F63" i="1"/>
  <c r="G63" i="1"/>
  <c r="H63" i="1"/>
  <c r="I63" i="1"/>
  <c r="E64" i="1"/>
  <c r="F64" i="1"/>
  <c r="G64" i="1"/>
  <c r="H64" i="1"/>
  <c r="I64" i="1"/>
  <c r="G67" i="1"/>
  <c r="H67" i="1"/>
  <c r="I67" i="1"/>
  <c r="E68" i="1"/>
  <c r="F68" i="1"/>
  <c r="G68" i="1"/>
  <c r="H68" i="1"/>
  <c r="I68" i="1"/>
  <c r="AJ56" i="1"/>
  <c r="AO56" i="1"/>
  <c r="AJ57" i="1"/>
  <c r="AO57" i="1"/>
  <c r="AE57" i="1" s="1"/>
  <c r="AJ58" i="1"/>
  <c r="AO58" i="1"/>
  <c r="AE58" i="1" s="1"/>
  <c r="AJ59" i="1"/>
  <c r="AO59" i="1"/>
  <c r="AE59" i="1" s="1"/>
  <c r="AJ60" i="1"/>
  <c r="AO60" i="1"/>
  <c r="AJ61" i="1"/>
  <c r="AO61" i="1"/>
  <c r="AJ62" i="1"/>
  <c r="AO62" i="1"/>
  <c r="AE62" i="1" s="1"/>
  <c r="AJ63" i="1"/>
  <c r="AO63" i="1"/>
  <c r="AE63" i="1" s="1"/>
  <c r="AJ64" i="1"/>
  <c r="AO64" i="1"/>
  <c r="AJ68" i="1"/>
  <c r="AO68" i="1"/>
  <c r="AE68" i="1" s="1"/>
  <c r="AT68" i="1"/>
  <c r="AF56" i="1"/>
  <c r="AG56" i="1"/>
  <c r="AH56" i="1"/>
  <c r="AI56" i="1"/>
  <c r="AF57" i="1"/>
  <c r="AG57" i="1"/>
  <c r="AH57" i="1"/>
  <c r="AI57" i="1"/>
  <c r="AF58" i="1"/>
  <c r="AG58" i="1"/>
  <c r="AH58" i="1"/>
  <c r="AI58" i="1"/>
  <c r="AF59" i="1"/>
  <c r="AG59" i="1"/>
  <c r="AH59" i="1"/>
  <c r="AI59" i="1"/>
  <c r="AF60" i="1"/>
  <c r="AG60" i="1"/>
  <c r="AH60" i="1"/>
  <c r="AI60" i="1"/>
  <c r="AE61" i="1"/>
  <c r="AF61" i="1"/>
  <c r="AG61" i="1"/>
  <c r="AH61" i="1"/>
  <c r="AI61" i="1"/>
  <c r="AF62" i="1"/>
  <c r="AG62" i="1"/>
  <c r="AH62" i="1"/>
  <c r="AI62" i="1"/>
  <c r="AF63" i="1"/>
  <c r="AG63" i="1"/>
  <c r="AH63" i="1"/>
  <c r="AI63" i="1"/>
  <c r="AF64" i="1"/>
  <c r="AG64" i="1"/>
  <c r="AH64" i="1"/>
  <c r="AI64" i="1"/>
  <c r="AF67" i="1"/>
  <c r="AG67" i="1"/>
  <c r="AH67" i="1"/>
  <c r="AI67" i="1"/>
  <c r="AF68" i="1"/>
  <c r="AG68" i="1"/>
  <c r="AH68" i="1"/>
  <c r="AI68" i="1"/>
  <c r="AJ109" i="1"/>
  <c r="AO109" i="1"/>
  <c r="AT109" i="1"/>
  <c r="AJ110" i="1"/>
  <c r="AO110" i="1"/>
  <c r="AT110" i="1"/>
  <c r="AJ111" i="1"/>
  <c r="AO111" i="1"/>
  <c r="AT111" i="1"/>
  <c r="AJ112" i="1"/>
  <c r="AO112" i="1"/>
  <c r="AE112" i="1" s="1"/>
  <c r="AT112" i="1"/>
  <c r="AJ113" i="1"/>
  <c r="AO113" i="1"/>
  <c r="AT113" i="1"/>
  <c r="AJ114" i="1"/>
  <c r="AO114" i="1"/>
  <c r="AT114" i="1"/>
  <c r="AJ115" i="1"/>
  <c r="AO115" i="1"/>
  <c r="AT115" i="1"/>
  <c r="AJ116" i="1"/>
  <c r="AO116" i="1"/>
  <c r="AT116" i="1"/>
  <c r="AJ117" i="1"/>
  <c r="AO117" i="1"/>
  <c r="AT117" i="1"/>
  <c r="AF109" i="1"/>
  <c r="AG109" i="1"/>
  <c r="AH109" i="1"/>
  <c r="AI109" i="1"/>
  <c r="AF110" i="1"/>
  <c r="AG110" i="1"/>
  <c r="AH110" i="1"/>
  <c r="AI110" i="1"/>
  <c r="AF111" i="1"/>
  <c r="AG111" i="1"/>
  <c r="AH111" i="1"/>
  <c r="AI111" i="1"/>
  <c r="AF112" i="1"/>
  <c r="AG112" i="1"/>
  <c r="AH112" i="1"/>
  <c r="AI112" i="1"/>
  <c r="AF113" i="1"/>
  <c r="AG113" i="1"/>
  <c r="AH113" i="1"/>
  <c r="AI113" i="1"/>
  <c r="AF114" i="1"/>
  <c r="AG114" i="1"/>
  <c r="AH114" i="1"/>
  <c r="AI114" i="1"/>
  <c r="AF115" i="1"/>
  <c r="AG115" i="1"/>
  <c r="AH115" i="1"/>
  <c r="AI115" i="1"/>
  <c r="AF116" i="1"/>
  <c r="AG116" i="1"/>
  <c r="AH116" i="1"/>
  <c r="AI116" i="1"/>
  <c r="AF117" i="1"/>
  <c r="AG117" i="1"/>
  <c r="AH117" i="1"/>
  <c r="AI117" i="1"/>
  <c r="J109" i="1"/>
  <c r="O109" i="1"/>
  <c r="J110" i="1"/>
  <c r="E110" i="1" s="1"/>
  <c r="O110" i="1"/>
  <c r="J111" i="1"/>
  <c r="O111" i="1"/>
  <c r="J112" i="1"/>
  <c r="E112" i="1" s="1"/>
  <c r="O112" i="1"/>
  <c r="J113" i="1"/>
  <c r="O113" i="1"/>
  <c r="J114" i="1"/>
  <c r="E114" i="1" s="1"/>
  <c r="O114" i="1"/>
  <c r="J115" i="1"/>
  <c r="O115" i="1"/>
  <c r="J116" i="1"/>
  <c r="E116" i="1" s="1"/>
  <c r="O116" i="1"/>
  <c r="J117" i="1"/>
  <c r="E117" i="1" s="1"/>
  <c r="O117" i="1"/>
  <c r="F109" i="1"/>
  <c r="G109" i="1"/>
  <c r="H109" i="1"/>
  <c r="I109" i="1"/>
  <c r="F110" i="1"/>
  <c r="G110" i="1"/>
  <c r="H110" i="1"/>
  <c r="I110" i="1"/>
  <c r="F111" i="1"/>
  <c r="G111" i="1"/>
  <c r="H111" i="1"/>
  <c r="I111" i="1"/>
  <c r="F112" i="1"/>
  <c r="G112" i="1"/>
  <c r="H112" i="1"/>
  <c r="I112" i="1"/>
  <c r="F113" i="1"/>
  <c r="G113" i="1"/>
  <c r="H113" i="1"/>
  <c r="I113" i="1"/>
  <c r="F114" i="1"/>
  <c r="G114" i="1"/>
  <c r="H114" i="1"/>
  <c r="I114" i="1"/>
  <c r="F115" i="1"/>
  <c r="G115" i="1"/>
  <c r="H115" i="1"/>
  <c r="I115" i="1"/>
  <c r="F116" i="1"/>
  <c r="G116" i="1"/>
  <c r="H116" i="1"/>
  <c r="I116" i="1"/>
  <c r="F117" i="1"/>
  <c r="G117" i="1"/>
  <c r="H117" i="1"/>
  <c r="I117" i="1"/>
  <c r="AY138" i="1"/>
  <c r="AO138" i="1"/>
  <c r="AT138" i="1"/>
  <c r="AF138" i="1"/>
  <c r="AG138" i="1"/>
  <c r="AH138" i="1"/>
  <c r="AI138" i="1"/>
  <c r="E138" i="1"/>
  <c r="F138" i="1"/>
  <c r="G138" i="1"/>
  <c r="H138" i="1"/>
  <c r="I138" i="1"/>
  <c r="E115" i="1" l="1"/>
  <c r="E113" i="1"/>
  <c r="E111" i="1"/>
  <c r="E109" i="1"/>
  <c r="AE138" i="1"/>
  <c r="AE116" i="1"/>
  <c r="AE117" i="1"/>
  <c r="AE115" i="1"/>
  <c r="AE114" i="1"/>
  <c r="AE113" i="1"/>
  <c r="AE111" i="1"/>
  <c r="AE110" i="1"/>
  <c r="AE109" i="1"/>
  <c r="AE64" i="1"/>
  <c r="AE60" i="1"/>
  <c r="AE56" i="1"/>
  <c r="AD26" i="1" l="1"/>
  <c r="AD23" i="1" s="1"/>
  <c r="AD22" i="1" s="1"/>
  <c r="AD38" i="1"/>
  <c r="AD51" i="1"/>
  <c r="AD99" i="1"/>
  <c r="AD98" i="1" s="1"/>
  <c r="AD102" i="1"/>
  <c r="AD105" i="1"/>
  <c r="AD136" i="1"/>
  <c r="AD37" i="1" l="1"/>
  <c r="AD54" i="1"/>
  <c r="AD53" i="1" s="1"/>
  <c r="AD36" i="1" s="1"/>
  <c r="AD20" i="1" s="1"/>
  <c r="AD21" i="1" s="1"/>
  <c r="X25" i="1" l="1"/>
  <c r="AV93" i="1" l="1"/>
  <c r="X100" i="1"/>
  <c r="X82" i="1"/>
  <c r="T82" i="1" s="1"/>
  <c r="X97" i="1"/>
  <c r="T97" i="1" s="1"/>
  <c r="V97" i="1"/>
  <c r="V78" i="1"/>
  <c r="T78" i="1" s="1"/>
  <c r="V93" i="1"/>
  <c r="T93" i="1" s="1"/>
  <c r="U67" i="1"/>
  <c r="F67" i="1" s="1"/>
  <c r="X71" i="1"/>
  <c r="T71" i="1" s="1"/>
  <c r="V70" i="1"/>
  <c r="G70" i="1" s="1"/>
  <c r="U70" i="1"/>
  <c r="F70" i="1" s="1"/>
  <c r="X73" i="1"/>
  <c r="T73" i="1" s="1"/>
  <c r="X55" i="1"/>
  <c r="V55" i="1"/>
  <c r="U55" i="1"/>
  <c r="T55" i="1" s="1"/>
  <c r="T69" i="1"/>
  <c r="T72" i="1"/>
  <c r="T74" i="1"/>
  <c r="T75" i="1"/>
  <c r="T76" i="1"/>
  <c r="T77" i="1"/>
  <c r="T79" i="1"/>
  <c r="T80" i="1"/>
  <c r="T81" i="1"/>
  <c r="T83" i="1"/>
  <c r="T84" i="1"/>
  <c r="T85" i="1"/>
  <c r="T86" i="1"/>
  <c r="T87" i="1"/>
  <c r="T88" i="1"/>
  <c r="T89" i="1"/>
  <c r="T90" i="1"/>
  <c r="T91" i="1"/>
  <c r="T92" i="1"/>
  <c r="T94" i="1"/>
  <c r="T95" i="1"/>
  <c r="T96" i="1"/>
  <c r="T27" i="1"/>
  <c r="T28" i="1"/>
  <c r="T30" i="1"/>
  <c r="T31" i="1"/>
  <c r="T34" i="1"/>
  <c r="T35" i="1"/>
  <c r="G119" i="1"/>
  <c r="H119" i="1"/>
  <c r="I119" i="1"/>
  <c r="J119" i="1"/>
  <c r="F119" i="1"/>
  <c r="T119" i="1"/>
  <c r="AF119" i="1"/>
  <c r="AG119" i="1"/>
  <c r="AH119" i="1"/>
  <c r="AI119" i="1"/>
  <c r="AJ119" i="1"/>
  <c r="AO119" i="1"/>
  <c r="AT119" i="1"/>
  <c r="G120" i="1"/>
  <c r="H120" i="1"/>
  <c r="I120" i="1"/>
  <c r="J120" i="1"/>
  <c r="O120" i="1"/>
  <c r="T120" i="1"/>
  <c r="AF120" i="1"/>
  <c r="AG120" i="1"/>
  <c r="AH120" i="1"/>
  <c r="AI120" i="1"/>
  <c r="AJ120" i="1"/>
  <c r="AO120" i="1"/>
  <c r="AT120" i="1"/>
  <c r="H70" i="1"/>
  <c r="I70" i="1"/>
  <c r="O70" i="1"/>
  <c r="AF70" i="1"/>
  <c r="AG70" i="1"/>
  <c r="AH70" i="1"/>
  <c r="AI70" i="1"/>
  <c r="AJ70" i="1"/>
  <c r="AO70" i="1"/>
  <c r="AT70" i="1"/>
  <c r="F71" i="1"/>
  <c r="H71" i="1"/>
  <c r="O71" i="1"/>
  <c r="AF71" i="1"/>
  <c r="AG71" i="1"/>
  <c r="AH71" i="1"/>
  <c r="AI71" i="1"/>
  <c r="AJ71" i="1"/>
  <c r="AO71" i="1"/>
  <c r="AT71" i="1"/>
  <c r="F72" i="1"/>
  <c r="H72" i="1"/>
  <c r="I72" i="1"/>
  <c r="O72" i="1"/>
  <c r="G72" i="1"/>
  <c r="AF72" i="1"/>
  <c r="AG72" i="1"/>
  <c r="AH72" i="1"/>
  <c r="AI72" i="1"/>
  <c r="AJ72" i="1"/>
  <c r="AO72" i="1"/>
  <c r="AT72" i="1"/>
  <c r="F40" i="1"/>
  <c r="H40" i="1"/>
  <c r="I40" i="1"/>
  <c r="O40" i="1"/>
  <c r="G40" i="1"/>
  <c r="T40" i="1"/>
  <c r="AF40" i="1"/>
  <c r="AG40" i="1"/>
  <c r="AH40" i="1"/>
  <c r="AI40" i="1"/>
  <c r="AJ40" i="1"/>
  <c r="AO40" i="1"/>
  <c r="AT40" i="1"/>
  <c r="F41" i="1"/>
  <c r="H41" i="1"/>
  <c r="I41" i="1"/>
  <c r="G41" i="1"/>
  <c r="T41" i="1"/>
  <c r="AF41" i="1"/>
  <c r="AG41" i="1"/>
  <c r="AH41" i="1"/>
  <c r="AI41" i="1"/>
  <c r="AJ41" i="1"/>
  <c r="AO41" i="1"/>
  <c r="AT41" i="1"/>
  <c r="H42" i="1"/>
  <c r="I42" i="1"/>
  <c r="O42" i="1"/>
  <c r="G42" i="1"/>
  <c r="T42" i="1"/>
  <c r="AF42" i="1"/>
  <c r="AG42" i="1"/>
  <c r="AH42" i="1"/>
  <c r="AI42" i="1"/>
  <c r="AJ42" i="1"/>
  <c r="AO42" i="1"/>
  <c r="AT42" i="1"/>
  <c r="F43" i="1"/>
  <c r="H43" i="1"/>
  <c r="I43" i="1"/>
  <c r="O43" i="1"/>
  <c r="G43" i="1"/>
  <c r="T43" i="1"/>
  <c r="AF43" i="1"/>
  <c r="AG43" i="1"/>
  <c r="AH43" i="1"/>
  <c r="AI43" i="1"/>
  <c r="AJ43" i="1"/>
  <c r="AO43" i="1"/>
  <c r="AT43" i="1"/>
  <c r="F29" i="1"/>
  <c r="G29" i="1"/>
  <c r="O29" i="1"/>
  <c r="T29" i="1"/>
  <c r="AF29" i="1"/>
  <c r="AG29" i="1"/>
  <c r="AH29" i="1"/>
  <c r="AI29" i="1"/>
  <c r="AJ29" i="1"/>
  <c r="AO29" i="1"/>
  <c r="T67" i="1" l="1"/>
  <c r="AE72" i="1"/>
  <c r="AE70" i="1"/>
  <c r="AE71" i="1"/>
  <c r="I71" i="1"/>
  <c r="T70" i="1"/>
  <c r="E70" i="1" s="1"/>
  <c r="E71" i="1"/>
  <c r="E29" i="1"/>
  <c r="AE119" i="1"/>
  <c r="AE120" i="1"/>
  <c r="E120" i="1"/>
  <c r="O119" i="1"/>
  <c r="E119" i="1" s="1"/>
  <c r="F120" i="1"/>
  <c r="E72" i="1"/>
  <c r="AE41" i="1"/>
  <c r="G71" i="1"/>
  <c r="E41" i="1"/>
  <c r="E43" i="1"/>
  <c r="AE40" i="1"/>
  <c r="AE43" i="1"/>
  <c r="AE42" i="1"/>
  <c r="E42" i="1"/>
  <c r="E40" i="1"/>
  <c r="O41" i="1"/>
  <c r="AE29" i="1"/>
  <c r="J125" i="1"/>
  <c r="J106" i="1" l="1"/>
  <c r="J107" i="1"/>
  <c r="J121" i="1"/>
  <c r="J122" i="1"/>
  <c r="J123" i="1"/>
  <c r="J124" i="1"/>
  <c r="J127" i="1"/>
  <c r="J128" i="1"/>
  <c r="J130" i="1"/>
  <c r="J131" i="1"/>
  <c r="J132" i="1"/>
  <c r="J133" i="1"/>
  <c r="J134" i="1"/>
  <c r="AJ87" i="1"/>
  <c r="AJ89" i="1"/>
  <c r="AJ25" i="1"/>
  <c r="AJ24" i="1"/>
  <c r="AJ44" i="1"/>
  <c r="AJ45" i="1"/>
  <c r="AJ46" i="1"/>
  <c r="AJ47" i="1"/>
  <c r="AJ48" i="1"/>
  <c r="AJ49" i="1"/>
  <c r="AJ50" i="1"/>
  <c r="AJ39" i="1"/>
  <c r="AJ106" i="1"/>
  <c r="AJ107" i="1"/>
  <c r="AJ108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00" i="1"/>
  <c r="AJ101" i="1"/>
  <c r="AJ67" i="1"/>
  <c r="AJ69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8" i="1"/>
  <c r="AJ90" i="1"/>
  <c r="AJ91" i="1"/>
  <c r="AJ92" i="1"/>
  <c r="AJ93" i="1"/>
  <c r="AJ94" i="1"/>
  <c r="AJ95" i="1"/>
  <c r="AJ96" i="1"/>
  <c r="AJ97" i="1"/>
  <c r="AJ55" i="1"/>
  <c r="S145" i="1" l="1"/>
  <c r="S144" i="1"/>
  <c r="S143" i="1"/>
  <c r="S142" i="1"/>
  <c r="S141" i="1"/>
  <c r="S140" i="1"/>
  <c r="S139" i="1"/>
  <c r="S137" i="1"/>
  <c r="S134" i="1"/>
  <c r="P123" i="1"/>
  <c r="Q131" i="1"/>
  <c r="P122" i="1"/>
  <c r="O122" i="1" s="1"/>
  <c r="P121" i="1"/>
  <c r="O121" i="1" s="1"/>
  <c r="Q126" i="1"/>
  <c r="Q82" i="1"/>
  <c r="O82" i="1" s="1"/>
  <c r="P81" i="1"/>
  <c r="F81" i="1" s="1"/>
  <c r="P80" i="1"/>
  <c r="F80" i="1" s="1"/>
  <c r="P79" i="1"/>
  <c r="F79" i="1" s="1"/>
  <c r="P78" i="1"/>
  <c r="F78" i="1" s="1"/>
  <c r="Q77" i="1"/>
  <c r="O77" i="1" s="1"/>
  <c r="E77" i="1" s="1"/>
  <c r="AP76" i="1"/>
  <c r="AF76" i="1" s="1"/>
  <c r="P76" i="1"/>
  <c r="O76" i="1" s="1"/>
  <c r="E76" i="1" s="1"/>
  <c r="Q96" i="1"/>
  <c r="Q95" i="1"/>
  <c r="AS94" i="1"/>
  <c r="S94" i="1"/>
  <c r="S92" i="1"/>
  <c r="Q75" i="1"/>
  <c r="O75" i="1" s="1"/>
  <c r="AP74" i="1"/>
  <c r="AO74" i="1" s="1"/>
  <c r="P74" i="1"/>
  <c r="F74" i="1" s="1"/>
  <c r="Q73" i="1"/>
  <c r="O73" i="1" s="1"/>
  <c r="Q55" i="1"/>
  <c r="P46" i="1"/>
  <c r="F46" i="1" s="1"/>
  <c r="P45" i="1"/>
  <c r="Q47" i="1"/>
  <c r="S25" i="1"/>
  <c r="Q25" i="1"/>
  <c r="S24" i="1"/>
  <c r="R24" i="1"/>
  <c r="Q24" i="1"/>
  <c r="P24" i="1"/>
  <c r="Q27" i="1"/>
  <c r="Q44" i="1"/>
  <c r="O44" i="1" s="1"/>
  <c r="O28" i="1"/>
  <c r="O30" i="1"/>
  <c r="E30" i="1" s="1"/>
  <c r="O31" i="1"/>
  <c r="O34" i="1"/>
  <c r="O35" i="1"/>
  <c r="AF121" i="1"/>
  <c r="AG121" i="1"/>
  <c r="AH121" i="1"/>
  <c r="AI121" i="1"/>
  <c r="AO121" i="1"/>
  <c r="AT121" i="1"/>
  <c r="AF122" i="1"/>
  <c r="AG122" i="1"/>
  <c r="AH122" i="1"/>
  <c r="AI122" i="1"/>
  <c r="AO122" i="1"/>
  <c r="AT122" i="1"/>
  <c r="AF123" i="1"/>
  <c r="AG123" i="1"/>
  <c r="AH123" i="1"/>
  <c r="AI123" i="1"/>
  <c r="AO123" i="1"/>
  <c r="AT123" i="1"/>
  <c r="AF124" i="1"/>
  <c r="AG124" i="1"/>
  <c r="AH124" i="1"/>
  <c r="AI124" i="1"/>
  <c r="AO124" i="1"/>
  <c r="AT124" i="1"/>
  <c r="T121" i="1"/>
  <c r="T122" i="1"/>
  <c r="O123" i="1"/>
  <c r="T123" i="1"/>
  <c r="O124" i="1"/>
  <c r="T124" i="1"/>
  <c r="F121" i="1"/>
  <c r="G121" i="1"/>
  <c r="H121" i="1"/>
  <c r="I121" i="1"/>
  <c r="G122" i="1"/>
  <c r="H122" i="1"/>
  <c r="I122" i="1"/>
  <c r="F123" i="1"/>
  <c r="G123" i="1"/>
  <c r="H123" i="1"/>
  <c r="I123" i="1"/>
  <c r="F124" i="1"/>
  <c r="G124" i="1"/>
  <c r="H124" i="1"/>
  <c r="I124" i="1"/>
  <c r="AO73" i="1"/>
  <c r="AT73" i="1"/>
  <c r="AT74" i="1"/>
  <c r="AO75" i="1"/>
  <c r="AT75" i="1"/>
  <c r="AO76" i="1"/>
  <c r="AT76" i="1"/>
  <c r="AO77" i="1"/>
  <c r="AT77" i="1"/>
  <c r="AO78" i="1"/>
  <c r="AT78" i="1"/>
  <c r="AO79" i="1"/>
  <c r="AT79" i="1"/>
  <c r="AO80" i="1"/>
  <c r="AT80" i="1"/>
  <c r="AO81" i="1"/>
  <c r="AT81" i="1"/>
  <c r="AE81" i="1" s="1"/>
  <c r="AO82" i="1"/>
  <c r="AT82" i="1"/>
  <c r="F73" i="1"/>
  <c r="H73" i="1"/>
  <c r="I73" i="1"/>
  <c r="G74" i="1"/>
  <c r="H74" i="1"/>
  <c r="I74" i="1"/>
  <c r="F75" i="1"/>
  <c r="H75" i="1"/>
  <c r="I75" i="1"/>
  <c r="G76" i="1"/>
  <c r="H76" i="1"/>
  <c r="I76" i="1"/>
  <c r="F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F82" i="1"/>
  <c r="H82" i="1"/>
  <c r="I82" i="1"/>
  <c r="O74" i="1"/>
  <c r="O79" i="1"/>
  <c r="E79" i="1" s="1"/>
  <c r="AF73" i="1"/>
  <c r="AG73" i="1"/>
  <c r="AH73" i="1"/>
  <c r="AI73" i="1"/>
  <c r="AG74" i="1"/>
  <c r="AH74" i="1"/>
  <c r="AI74" i="1"/>
  <c r="AF75" i="1"/>
  <c r="AG75" i="1"/>
  <c r="AH75" i="1"/>
  <c r="AI75" i="1"/>
  <c r="AG76" i="1"/>
  <c r="AH76" i="1"/>
  <c r="AI76" i="1"/>
  <c r="AF77" i="1"/>
  <c r="AG77" i="1"/>
  <c r="AH77" i="1"/>
  <c r="AI77" i="1"/>
  <c r="AF78" i="1"/>
  <c r="AG78" i="1"/>
  <c r="AH78" i="1"/>
  <c r="AI78" i="1"/>
  <c r="AF79" i="1"/>
  <c r="AG79" i="1"/>
  <c r="AH79" i="1"/>
  <c r="AI79" i="1"/>
  <c r="AF80" i="1"/>
  <c r="AG80" i="1"/>
  <c r="AH80" i="1"/>
  <c r="AI80" i="1"/>
  <c r="AF81" i="1"/>
  <c r="AG81" i="1"/>
  <c r="AH81" i="1"/>
  <c r="AI81" i="1"/>
  <c r="AF82" i="1"/>
  <c r="AG82" i="1"/>
  <c r="AH82" i="1"/>
  <c r="AI82" i="1"/>
  <c r="F44" i="1"/>
  <c r="H44" i="1"/>
  <c r="I44" i="1"/>
  <c r="T44" i="1"/>
  <c r="F45" i="1"/>
  <c r="G45" i="1"/>
  <c r="H45" i="1"/>
  <c r="I45" i="1"/>
  <c r="O45" i="1"/>
  <c r="T45" i="1"/>
  <c r="G46" i="1"/>
  <c r="H46" i="1"/>
  <c r="I46" i="1"/>
  <c r="T46" i="1"/>
  <c r="AO44" i="1"/>
  <c r="AT44" i="1"/>
  <c r="AO45" i="1"/>
  <c r="AT45" i="1"/>
  <c r="AO46" i="1"/>
  <c r="AT46" i="1"/>
  <c r="AF44" i="1"/>
  <c r="AG44" i="1"/>
  <c r="AH44" i="1"/>
  <c r="AI44" i="1"/>
  <c r="AF45" i="1"/>
  <c r="AG45" i="1"/>
  <c r="AH45" i="1"/>
  <c r="AI45" i="1"/>
  <c r="AF46" i="1"/>
  <c r="AG46" i="1"/>
  <c r="AH46" i="1"/>
  <c r="AI46" i="1"/>
  <c r="F30" i="1"/>
  <c r="G30" i="1"/>
  <c r="AF30" i="1"/>
  <c r="AG30" i="1"/>
  <c r="AH30" i="1"/>
  <c r="AI30" i="1"/>
  <c r="AJ30" i="1"/>
  <c r="AO30" i="1"/>
  <c r="AE73" i="1" l="1"/>
  <c r="AE80" i="1"/>
  <c r="AE76" i="1"/>
  <c r="AE77" i="1"/>
  <c r="AE75" i="1"/>
  <c r="AE82" i="1"/>
  <c r="AE78" i="1"/>
  <c r="AE74" i="1"/>
  <c r="AE79" i="1"/>
  <c r="AF74" i="1"/>
  <c r="O80" i="1"/>
  <c r="E80" i="1" s="1"/>
  <c r="O46" i="1"/>
  <c r="G77" i="1"/>
  <c r="O81" i="1"/>
  <c r="E81" i="1" s="1"/>
  <c r="E124" i="1"/>
  <c r="E121" i="1"/>
  <c r="AE124" i="1"/>
  <c r="G44" i="1"/>
  <c r="E44" i="1" s="1"/>
  <c r="G75" i="1"/>
  <c r="F76" i="1"/>
  <c r="G82" i="1"/>
  <c r="G73" i="1"/>
  <c r="F122" i="1"/>
  <c r="AE121" i="1"/>
  <c r="O78" i="1"/>
  <c r="E78" i="1" s="1"/>
  <c r="AE122" i="1"/>
  <c r="AE123" i="1"/>
  <c r="E123" i="1"/>
  <c r="E73" i="1"/>
  <c r="E75" i="1"/>
  <c r="AE44" i="1"/>
  <c r="E122" i="1"/>
  <c r="E82" i="1"/>
  <c r="E74" i="1"/>
  <c r="AE30" i="1"/>
  <c r="AE45" i="1"/>
  <c r="E45" i="1"/>
  <c r="E46" i="1"/>
  <c r="AE46" i="1"/>
  <c r="D102" i="1"/>
  <c r="D99" i="1"/>
  <c r="K92" i="1"/>
  <c r="K83" i="1"/>
  <c r="K129" i="1" l="1"/>
  <c r="J129" i="1" s="1"/>
  <c r="N126" i="1"/>
  <c r="J126" i="1" s="1"/>
  <c r="L108" i="1"/>
  <c r="K108" i="1"/>
  <c r="L91" i="1"/>
  <c r="K91" i="1"/>
  <c r="N89" i="1"/>
  <c r="L89" i="1"/>
  <c r="N87" i="1"/>
  <c r="L87" i="1"/>
  <c r="K87" i="1"/>
  <c r="N83" i="1"/>
  <c r="K49" i="1"/>
  <c r="M24" i="1"/>
  <c r="N24" i="1"/>
  <c r="L24" i="1"/>
  <c r="K24" i="1"/>
  <c r="AY52" i="1"/>
  <c r="AT52" i="1"/>
  <c r="AT51" i="1" s="1"/>
  <c r="AO52" i="1"/>
  <c r="AO51" i="1" s="1"/>
  <c r="AI52" i="1"/>
  <c r="AI51" i="1" s="1"/>
  <c r="AH52" i="1"/>
  <c r="AH51" i="1" s="1"/>
  <c r="AG52" i="1"/>
  <c r="AG51" i="1" s="1"/>
  <c r="AF52" i="1"/>
  <c r="AF51" i="1" s="1"/>
  <c r="T52" i="1"/>
  <c r="O52" i="1"/>
  <c r="O51" i="1" s="1"/>
  <c r="J52" i="1"/>
  <c r="J51" i="1" s="1"/>
  <c r="I52" i="1"/>
  <c r="I51" i="1" s="1"/>
  <c r="H52" i="1"/>
  <c r="G52" i="1"/>
  <c r="F52" i="1"/>
  <c r="I106" i="1"/>
  <c r="O106" i="1"/>
  <c r="T106" i="1"/>
  <c r="I107" i="1"/>
  <c r="O107" i="1"/>
  <c r="T107" i="1"/>
  <c r="I108" i="1"/>
  <c r="O108" i="1"/>
  <c r="T108" i="1"/>
  <c r="I125" i="1"/>
  <c r="O125" i="1"/>
  <c r="T125" i="1"/>
  <c r="I126" i="1"/>
  <c r="O126" i="1"/>
  <c r="T126" i="1"/>
  <c r="I127" i="1"/>
  <c r="O127" i="1"/>
  <c r="T127" i="1"/>
  <c r="I128" i="1"/>
  <c r="O128" i="1"/>
  <c r="T128" i="1"/>
  <c r="I129" i="1"/>
  <c r="O129" i="1"/>
  <c r="T129" i="1"/>
  <c r="I130" i="1"/>
  <c r="O130" i="1"/>
  <c r="T130" i="1"/>
  <c r="I131" i="1"/>
  <c r="O131" i="1"/>
  <c r="T131" i="1"/>
  <c r="I132" i="1"/>
  <c r="O132" i="1"/>
  <c r="T132" i="1"/>
  <c r="I133" i="1"/>
  <c r="O133" i="1"/>
  <c r="T133" i="1"/>
  <c r="I134" i="1"/>
  <c r="O134" i="1"/>
  <c r="T134" i="1"/>
  <c r="Y100" i="1"/>
  <c r="O55" i="1"/>
  <c r="O67" i="1"/>
  <c r="E67" i="1" s="1"/>
  <c r="O69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T48" i="1"/>
  <c r="T49" i="1"/>
  <c r="G51" i="1"/>
  <c r="H51" i="1"/>
  <c r="K51" i="1"/>
  <c r="L51" i="1"/>
  <c r="M51" i="1"/>
  <c r="N51" i="1"/>
  <c r="P51" i="1"/>
  <c r="Q51" i="1"/>
  <c r="R51" i="1"/>
  <c r="S51" i="1"/>
  <c r="T51" i="1"/>
  <c r="U51" i="1"/>
  <c r="V51" i="1"/>
  <c r="W51" i="1"/>
  <c r="X51" i="1"/>
  <c r="Z51" i="1"/>
  <c r="AA51" i="1"/>
  <c r="AB51" i="1"/>
  <c r="AC51" i="1"/>
  <c r="AJ51" i="1"/>
  <c r="AK51" i="1"/>
  <c r="AL51" i="1"/>
  <c r="AM51" i="1"/>
  <c r="AN51" i="1"/>
  <c r="AP51" i="1"/>
  <c r="AQ51" i="1"/>
  <c r="AR51" i="1"/>
  <c r="AS51" i="1"/>
  <c r="AU51" i="1"/>
  <c r="AV51" i="1"/>
  <c r="AW51" i="1"/>
  <c r="AX51" i="1"/>
  <c r="AZ51" i="1"/>
  <c r="BA51" i="1"/>
  <c r="BB51" i="1"/>
  <c r="BC51" i="1"/>
  <c r="D51" i="1"/>
  <c r="I105" i="1" l="1"/>
  <c r="J108" i="1"/>
  <c r="E52" i="1"/>
  <c r="E51" i="1" s="1"/>
  <c r="F51" i="1"/>
  <c r="AE52" i="1"/>
  <c r="AE51" i="1" s="1"/>
  <c r="AY51" i="1"/>
  <c r="AF100" i="1"/>
  <c r="AG100" i="1"/>
  <c r="AH100" i="1"/>
  <c r="AI100" i="1"/>
  <c r="AE100" i="1" l="1"/>
  <c r="AY139" i="1" l="1"/>
  <c r="AY140" i="1"/>
  <c r="AY141" i="1"/>
  <c r="AY142" i="1"/>
  <c r="AY143" i="1"/>
  <c r="AY144" i="1"/>
  <c r="AY145" i="1"/>
  <c r="AY137" i="1"/>
  <c r="G49" i="1" l="1"/>
  <c r="H49" i="1"/>
  <c r="I49" i="1"/>
  <c r="F47" i="1"/>
  <c r="G47" i="1"/>
  <c r="H47" i="1"/>
  <c r="I47" i="1"/>
  <c r="F48" i="1"/>
  <c r="G48" i="1"/>
  <c r="H48" i="1"/>
  <c r="I48" i="1"/>
  <c r="F49" i="1"/>
  <c r="F50" i="1"/>
  <c r="G50" i="1"/>
  <c r="H50" i="1"/>
  <c r="I50" i="1"/>
  <c r="E31" i="1"/>
  <c r="F31" i="1"/>
  <c r="G31" i="1"/>
  <c r="F34" i="1"/>
  <c r="G34" i="1"/>
  <c r="F35" i="1"/>
  <c r="E48" i="1" l="1"/>
  <c r="E49" i="1"/>
  <c r="E50" i="1"/>
  <c r="E47" i="1"/>
  <c r="F133" i="1"/>
  <c r="G133" i="1"/>
  <c r="H133" i="1"/>
  <c r="AF133" i="1"/>
  <c r="AG133" i="1"/>
  <c r="AH133" i="1"/>
  <c r="AI133" i="1"/>
  <c r="AO133" i="1"/>
  <c r="AT133" i="1"/>
  <c r="F134" i="1"/>
  <c r="G134" i="1"/>
  <c r="H134" i="1"/>
  <c r="E134" i="1"/>
  <c r="AF134" i="1"/>
  <c r="AG134" i="1"/>
  <c r="AH134" i="1"/>
  <c r="AI134" i="1"/>
  <c r="AO134" i="1"/>
  <c r="AT134" i="1"/>
  <c r="AE133" i="1" l="1"/>
  <c r="E133" i="1"/>
  <c r="AE134" i="1"/>
  <c r="K99" i="1"/>
  <c r="L99" i="1"/>
  <c r="N99" i="1"/>
  <c r="P99" i="1"/>
  <c r="Q99" i="1"/>
  <c r="R99" i="1"/>
  <c r="S99" i="1"/>
  <c r="U99" i="1"/>
  <c r="V99" i="1"/>
  <c r="W99" i="1"/>
  <c r="X99" i="1"/>
  <c r="Z99" i="1"/>
  <c r="AA99" i="1"/>
  <c r="AB99" i="1"/>
  <c r="AC99" i="1"/>
  <c r="AK99" i="1"/>
  <c r="AL99" i="1"/>
  <c r="AM99" i="1"/>
  <c r="AN99" i="1"/>
  <c r="AP99" i="1"/>
  <c r="AQ99" i="1"/>
  <c r="AR99" i="1"/>
  <c r="AS99" i="1"/>
  <c r="AU99" i="1"/>
  <c r="AV99" i="1"/>
  <c r="AW99" i="1"/>
  <c r="AZ99" i="1"/>
  <c r="BA99" i="1"/>
  <c r="BB99" i="1"/>
  <c r="BC99" i="1"/>
  <c r="D26" i="1"/>
  <c r="N26" i="1"/>
  <c r="P26" i="1"/>
  <c r="Q26" i="1"/>
  <c r="R26" i="1"/>
  <c r="S26" i="1"/>
  <c r="U26" i="1"/>
  <c r="V26" i="1"/>
  <c r="W26" i="1"/>
  <c r="X26" i="1"/>
  <c r="Z26" i="1"/>
  <c r="AA26" i="1"/>
  <c r="AB26" i="1"/>
  <c r="AC26" i="1"/>
  <c r="AK26" i="1"/>
  <c r="AL26" i="1"/>
  <c r="AM26" i="1"/>
  <c r="AN26" i="1"/>
  <c r="AF106" i="1" l="1"/>
  <c r="AG106" i="1"/>
  <c r="AH106" i="1"/>
  <c r="AI106" i="1"/>
  <c r="AO106" i="1"/>
  <c r="AT106" i="1"/>
  <c r="AF107" i="1"/>
  <c r="AG107" i="1"/>
  <c r="AH107" i="1"/>
  <c r="AI107" i="1"/>
  <c r="AO107" i="1"/>
  <c r="AT107" i="1"/>
  <c r="AF108" i="1"/>
  <c r="AG108" i="1"/>
  <c r="AH108" i="1"/>
  <c r="AI108" i="1"/>
  <c r="AO108" i="1"/>
  <c r="AT108" i="1"/>
  <c r="AF125" i="1"/>
  <c r="AG125" i="1"/>
  <c r="AH125" i="1"/>
  <c r="AI125" i="1"/>
  <c r="AO125" i="1"/>
  <c r="AT125" i="1"/>
  <c r="AF126" i="1"/>
  <c r="AG126" i="1"/>
  <c r="AH126" i="1"/>
  <c r="AI126" i="1"/>
  <c r="AO126" i="1"/>
  <c r="AT126" i="1"/>
  <c r="AF127" i="1"/>
  <c r="AG127" i="1"/>
  <c r="AH127" i="1"/>
  <c r="AI127" i="1"/>
  <c r="AO127" i="1"/>
  <c r="AT127" i="1"/>
  <c r="AF128" i="1"/>
  <c r="AG128" i="1"/>
  <c r="AH128" i="1"/>
  <c r="AI128" i="1"/>
  <c r="AO128" i="1"/>
  <c r="AT128" i="1"/>
  <c r="AF129" i="1"/>
  <c r="AG129" i="1"/>
  <c r="AH129" i="1"/>
  <c r="AI129" i="1"/>
  <c r="AO129" i="1"/>
  <c r="AT129" i="1"/>
  <c r="AF130" i="1"/>
  <c r="AG130" i="1"/>
  <c r="AH130" i="1"/>
  <c r="AI130" i="1"/>
  <c r="AO130" i="1"/>
  <c r="AT130" i="1"/>
  <c r="AF131" i="1"/>
  <c r="AG131" i="1"/>
  <c r="AH131" i="1"/>
  <c r="AI131" i="1"/>
  <c r="AO131" i="1"/>
  <c r="AT131" i="1"/>
  <c r="AF132" i="1"/>
  <c r="AG132" i="1"/>
  <c r="AH132" i="1"/>
  <c r="AI132" i="1"/>
  <c r="AO132" i="1"/>
  <c r="AT132" i="1"/>
  <c r="F106" i="1"/>
  <c r="G106" i="1"/>
  <c r="H106" i="1"/>
  <c r="F107" i="1"/>
  <c r="G107" i="1"/>
  <c r="H107" i="1"/>
  <c r="F108" i="1"/>
  <c r="G108" i="1"/>
  <c r="H108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AO67" i="1"/>
  <c r="AT67" i="1"/>
  <c r="AF69" i="1"/>
  <c r="AG69" i="1"/>
  <c r="AH69" i="1"/>
  <c r="AI69" i="1"/>
  <c r="AO69" i="1"/>
  <c r="AT69" i="1"/>
  <c r="AF83" i="1"/>
  <c r="AG83" i="1"/>
  <c r="AH83" i="1"/>
  <c r="AI83" i="1"/>
  <c r="AO83" i="1"/>
  <c r="AT83" i="1"/>
  <c r="AF84" i="1"/>
  <c r="AG84" i="1"/>
  <c r="AH84" i="1"/>
  <c r="AI84" i="1"/>
  <c r="AO84" i="1"/>
  <c r="AT84" i="1"/>
  <c r="AF85" i="1"/>
  <c r="AG85" i="1"/>
  <c r="AH85" i="1"/>
  <c r="AI85" i="1"/>
  <c r="AO85" i="1"/>
  <c r="AT85" i="1"/>
  <c r="AF86" i="1"/>
  <c r="AG86" i="1"/>
  <c r="AH86" i="1"/>
  <c r="AI86" i="1"/>
  <c r="AO86" i="1"/>
  <c r="AT86" i="1"/>
  <c r="AF87" i="1"/>
  <c r="AH87" i="1"/>
  <c r="AI87" i="1"/>
  <c r="AO87" i="1"/>
  <c r="AT87" i="1"/>
  <c r="AF88" i="1"/>
  <c r="AG88" i="1"/>
  <c r="AH88" i="1"/>
  <c r="AI88" i="1"/>
  <c r="AO88" i="1"/>
  <c r="AT88" i="1"/>
  <c r="AF89" i="1"/>
  <c r="AG89" i="1"/>
  <c r="AH89" i="1"/>
  <c r="AI89" i="1"/>
  <c r="AO89" i="1"/>
  <c r="AT89" i="1"/>
  <c r="AF90" i="1"/>
  <c r="AG90" i="1"/>
  <c r="AH90" i="1"/>
  <c r="AI90" i="1"/>
  <c r="AO90" i="1"/>
  <c r="AT90" i="1"/>
  <c r="AF91" i="1"/>
  <c r="AG91" i="1"/>
  <c r="AH91" i="1"/>
  <c r="AI91" i="1"/>
  <c r="AO91" i="1"/>
  <c r="AT91" i="1"/>
  <c r="AF92" i="1"/>
  <c r="AG92" i="1"/>
  <c r="AH92" i="1"/>
  <c r="AI92" i="1"/>
  <c r="AO92" i="1"/>
  <c r="AT92" i="1"/>
  <c r="AF93" i="1"/>
  <c r="AG93" i="1"/>
  <c r="AH93" i="1"/>
  <c r="AI93" i="1"/>
  <c r="AO93" i="1"/>
  <c r="AT93" i="1"/>
  <c r="AF94" i="1"/>
  <c r="AG94" i="1"/>
  <c r="AH94" i="1"/>
  <c r="AI94" i="1"/>
  <c r="AO94" i="1"/>
  <c r="AT94" i="1"/>
  <c r="AF95" i="1"/>
  <c r="AG95" i="1"/>
  <c r="AH95" i="1"/>
  <c r="AI95" i="1"/>
  <c r="AO95" i="1"/>
  <c r="AT95" i="1"/>
  <c r="AF96" i="1"/>
  <c r="AG96" i="1"/>
  <c r="AH96" i="1"/>
  <c r="AI96" i="1"/>
  <c r="AO96" i="1"/>
  <c r="AT96" i="1"/>
  <c r="AF97" i="1"/>
  <c r="AG97" i="1"/>
  <c r="AH97" i="1"/>
  <c r="AI97" i="1"/>
  <c r="AO97" i="1"/>
  <c r="AT97" i="1"/>
  <c r="O97" i="1"/>
  <c r="AO31" i="1"/>
  <c r="AJ31" i="1"/>
  <c r="AF31" i="1"/>
  <c r="AG31" i="1"/>
  <c r="AH31" i="1"/>
  <c r="AI31" i="1"/>
  <c r="AE84" i="1" l="1"/>
  <c r="AE95" i="1"/>
  <c r="AE91" i="1"/>
  <c r="AE87" i="1"/>
  <c r="G105" i="1"/>
  <c r="F105" i="1"/>
  <c r="AT105" i="1"/>
  <c r="H105" i="1"/>
  <c r="AE67" i="1"/>
  <c r="AE94" i="1"/>
  <c r="AE90" i="1"/>
  <c r="AE83" i="1"/>
  <c r="AE96" i="1"/>
  <c r="AE92" i="1"/>
  <c r="AE88" i="1"/>
  <c r="AE85" i="1"/>
  <c r="AE97" i="1"/>
  <c r="AE93" i="1"/>
  <c r="AE89" i="1"/>
  <c r="AE86" i="1"/>
  <c r="AE69" i="1"/>
  <c r="AE108" i="1"/>
  <c r="AE107" i="1"/>
  <c r="E131" i="1"/>
  <c r="E108" i="1"/>
  <c r="E107" i="1"/>
  <c r="AE31" i="1"/>
  <c r="E132" i="1"/>
  <c r="AE129" i="1"/>
  <c r="AE126" i="1"/>
  <c r="E128" i="1"/>
  <c r="AE132" i="1"/>
  <c r="AE128" i="1"/>
  <c r="AE125" i="1"/>
  <c r="E130" i="1"/>
  <c r="E129" i="1"/>
  <c r="E127" i="1"/>
  <c r="E106" i="1"/>
  <c r="AE130" i="1"/>
  <c r="AE127" i="1"/>
  <c r="AE106" i="1"/>
  <c r="E125" i="1"/>
  <c r="AE131" i="1"/>
  <c r="E126" i="1"/>
  <c r="E105" i="1" l="1"/>
  <c r="AP26" i="1"/>
  <c r="AQ26" i="1"/>
  <c r="AR26" i="1"/>
  <c r="AS26" i="1"/>
  <c r="AU26" i="1"/>
  <c r="AV26" i="1"/>
  <c r="AW26" i="1"/>
  <c r="AX26" i="1"/>
  <c r="AY26" i="1"/>
  <c r="AZ26" i="1"/>
  <c r="BA26" i="1"/>
  <c r="BB26" i="1"/>
  <c r="BC26" i="1"/>
  <c r="K136" i="1" l="1"/>
  <c r="L136" i="1"/>
  <c r="M136" i="1"/>
  <c r="N136" i="1"/>
  <c r="P136" i="1"/>
  <c r="Q136" i="1"/>
  <c r="R136" i="1"/>
  <c r="S136" i="1"/>
  <c r="U136" i="1"/>
  <c r="V136" i="1"/>
  <c r="W136" i="1"/>
  <c r="X136" i="1"/>
  <c r="Z136" i="1"/>
  <c r="AA136" i="1"/>
  <c r="AB136" i="1"/>
  <c r="AC136" i="1"/>
  <c r="AK136" i="1"/>
  <c r="AL136" i="1"/>
  <c r="AM136" i="1"/>
  <c r="AN136" i="1"/>
  <c r="AP136" i="1"/>
  <c r="AQ136" i="1"/>
  <c r="AR136" i="1"/>
  <c r="AS136" i="1"/>
  <c r="AU136" i="1"/>
  <c r="AV136" i="1"/>
  <c r="AW136" i="1"/>
  <c r="AX136" i="1"/>
  <c r="AY136" i="1"/>
  <c r="AZ136" i="1"/>
  <c r="BA136" i="1"/>
  <c r="BB136" i="1"/>
  <c r="BC136" i="1"/>
  <c r="T47" i="1" l="1"/>
  <c r="T50" i="1"/>
  <c r="T39" i="1"/>
  <c r="AT25" i="1"/>
  <c r="AT24" i="1"/>
  <c r="AT28" i="1"/>
  <c r="AT34" i="1"/>
  <c r="AT35" i="1"/>
  <c r="AT27" i="1"/>
  <c r="AT47" i="1"/>
  <c r="AT48" i="1"/>
  <c r="AT49" i="1"/>
  <c r="AT50" i="1"/>
  <c r="AT39" i="1"/>
  <c r="AT55" i="1"/>
  <c r="AT101" i="1"/>
  <c r="AT103" i="1"/>
  <c r="AT139" i="1"/>
  <c r="AT140" i="1"/>
  <c r="AT141" i="1"/>
  <c r="AT142" i="1"/>
  <c r="AT143" i="1"/>
  <c r="AT144" i="1"/>
  <c r="AT145" i="1"/>
  <c r="AT137" i="1"/>
  <c r="T139" i="1"/>
  <c r="T140" i="1"/>
  <c r="T141" i="1"/>
  <c r="T142" i="1"/>
  <c r="T143" i="1"/>
  <c r="T144" i="1"/>
  <c r="T145" i="1"/>
  <c r="T137" i="1"/>
  <c r="T103" i="1"/>
  <c r="T101" i="1"/>
  <c r="T100" i="1"/>
  <c r="T99" i="1" s="1"/>
  <c r="F100" i="1"/>
  <c r="G100" i="1"/>
  <c r="H100" i="1"/>
  <c r="O100" i="1"/>
  <c r="I100" i="1"/>
  <c r="O49" i="1"/>
  <c r="AF49" i="1"/>
  <c r="AG49" i="1"/>
  <c r="AH49" i="1"/>
  <c r="AI49" i="1"/>
  <c r="AO49" i="1"/>
  <c r="AF141" i="1"/>
  <c r="AG141" i="1"/>
  <c r="AH141" i="1"/>
  <c r="AI141" i="1"/>
  <c r="AO141" i="1"/>
  <c r="F141" i="1"/>
  <c r="G141" i="1"/>
  <c r="H141" i="1"/>
  <c r="I141" i="1"/>
  <c r="O141" i="1"/>
  <c r="Y141" i="1"/>
  <c r="AT99" i="1" l="1"/>
  <c r="AX99" i="1"/>
  <c r="AT136" i="1"/>
  <c r="T136" i="1"/>
  <c r="T26" i="1"/>
  <c r="AT26" i="1"/>
  <c r="E100" i="1"/>
  <c r="AE49" i="1"/>
  <c r="AE141" i="1"/>
  <c r="E141" i="1"/>
  <c r="AO145" i="1"/>
  <c r="AI145" i="1"/>
  <c r="AH145" i="1"/>
  <c r="AG145" i="1"/>
  <c r="AF145" i="1"/>
  <c r="Y145" i="1"/>
  <c r="O145" i="1"/>
  <c r="I145" i="1"/>
  <c r="H145" i="1"/>
  <c r="G145" i="1"/>
  <c r="F145" i="1"/>
  <c r="AO144" i="1"/>
  <c r="AI144" i="1"/>
  <c r="AH144" i="1"/>
  <c r="AG144" i="1"/>
  <c r="AF144" i="1"/>
  <c r="Y144" i="1"/>
  <c r="O144" i="1"/>
  <c r="I144" i="1"/>
  <c r="H144" i="1"/>
  <c r="G144" i="1"/>
  <c r="F144" i="1"/>
  <c r="AO143" i="1"/>
  <c r="AI143" i="1"/>
  <c r="AH143" i="1"/>
  <c r="AG143" i="1"/>
  <c r="AF143" i="1"/>
  <c r="Y143" i="1"/>
  <c r="O143" i="1"/>
  <c r="I143" i="1"/>
  <c r="H143" i="1"/>
  <c r="G143" i="1"/>
  <c r="F143" i="1"/>
  <c r="AO142" i="1"/>
  <c r="AI142" i="1"/>
  <c r="AH142" i="1"/>
  <c r="AG142" i="1"/>
  <c r="AF142" i="1"/>
  <c r="Y142" i="1"/>
  <c r="O142" i="1"/>
  <c r="I142" i="1"/>
  <c r="H142" i="1"/>
  <c r="G142" i="1"/>
  <c r="F142" i="1"/>
  <c r="AO140" i="1"/>
  <c r="AI140" i="1"/>
  <c r="AH140" i="1"/>
  <c r="AG140" i="1"/>
  <c r="AF140" i="1"/>
  <c r="Y140" i="1"/>
  <c r="O140" i="1"/>
  <c r="I140" i="1"/>
  <c r="H140" i="1"/>
  <c r="G140" i="1"/>
  <c r="F140" i="1"/>
  <c r="AO139" i="1"/>
  <c r="AI139" i="1"/>
  <c r="AH139" i="1"/>
  <c r="AG139" i="1"/>
  <c r="AF139" i="1"/>
  <c r="Y139" i="1"/>
  <c r="O139" i="1"/>
  <c r="I139" i="1"/>
  <c r="H139" i="1"/>
  <c r="G139" i="1"/>
  <c r="F139" i="1"/>
  <c r="AO137" i="1"/>
  <c r="AI137" i="1"/>
  <c r="AH137" i="1"/>
  <c r="AG137" i="1"/>
  <c r="AF137" i="1"/>
  <c r="Y137" i="1"/>
  <c r="O137" i="1"/>
  <c r="H137" i="1"/>
  <c r="G137" i="1"/>
  <c r="F137" i="1"/>
  <c r="AS105" i="1"/>
  <c r="AR105" i="1"/>
  <c r="AQ105" i="1"/>
  <c r="AP105" i="1"/>
  <c r="AN105" i="1"/>
  <c r="AM105" i="1"/>
  <c r="AL105" i="1"/>
  <c r="AK105" i="1"/>
  <c r="AC105" i="1"/>
  <c r="AB105" i="1"/>
  <c r="AA105" i="1"/>
  <c r="Z105" i="1"/>
  <c r="X105" i="1"/>
  <c r="W105" i="1"/>
  <c r="V105" i="1"/>
  <c r="U105" i="1"/>
  <c r="T105" i="1"/>
  <c r="S105" i="1"/>
  <c r="R105" i="1"/>
  <c r="Q105" i="1"/>
  <c r="P105" i="1"/>
  <c r="N105" i="1"/>
  <c r="M105" i="1"/>
  <c r="K105" i="1"/>
  <c r="D105" i="1"/>
  <c r="AY103" i="1"/>
  <c r="AI103" i="1"/>
  <c r="AH103" i="1"/>
  <c r="AG103" i="1"/>
  <c r="AF103" i="1"/>
  <c r="AF102" i="1" s="1"/>
  <c r="I103" i="1"/>
  <c r="I102" i="1" s="1"/>
  <c r="H103" i="1"/>
  <c r="H102" i="1" s="1"/>
  <c r="G103" i="1"/>
  <c r="G102" i="1" s="1"/>
  <c r="F103" i="1"/>
  <c r="F102" i="1" s="1"/>
  <c r="E103" i="1"/>
  <c r="BC102" i="1"/>
  <c r="BC98" i="1" s="1"/>
  <c r="BB102" i="1"/>
  <c r="BA102" i="1"/>
  <c r="BA98" i="1" s="1"/>
  <c r="AZ102" i="1"/>
  <c r="AZ98" i="1" s="1"/>
  <c r="AX102" i="1"/>
  <c r="AX98" i="1" s="1"/>
  <c r="AW102" i="1"/>
  <c r="AV102" i="1"/>
  <c r="AV98" i="1" s="1"/>
  <c r="AU102" i="1"/>
  <c r="AU98" i="1" s="1"/>
  <c r="AT102" i="1"/>
  <c r="AS102" i="1"/>
  <c r="AS98" i="1" s="1"/>
  <c r="AR102" i="1"/>
  <c r="AR98" i="1" s="1"/>
  <c r="AQ102" i="1"/>
  <c r="AQ98" i="1" s="1"/>
  <c r="AP102" i="1"/>
  <c r="AO102" i="1"/>
  <c r="AN102" i="1"/>
  <c r="AN98" i="1" s="1"/>
  <c r="AM102" i="1"/>
  <c r="AL102" i="1"/>
  <c r="AK102" i="1"/>
  <c r="AK98" i="1" s="1"/>
  <c r="AJ102" i="1"/>
  <c r="AI102" i="1"/>
  <c r="AH102" i="1"/>
  <c r="AG102" i="1"/>
  <c r="AC102" i="1"/>
  <c r="AC98" i="1" s="1"/>
  <c r="AB102" i="1"/>
  <c r="AA102" i="1"/>
  <c r="AA98" i="1" s="1"/>
  <c r="Z102" i="1"/>
  <c r="Y102" i="1"/>
  <c r="X102" i="1"/>
  <c r="X98" i="1" s="1"/>
  <c r="W102" i="1"/>
  <c r="W98" i="1" s="1"/>
  <c r="V102" i="1"/>
  <c r="U102" i="1"/>
  <c r="U98" i="1" s="1"/>
  <c r="T102" i="1"/>
  <c r="S102" i="1"/>
  <c r="S98" i="1" s="1"/>
  <c r="R102" i="1"/>
  <c r="Q102" i="1"/>
  <c r="Q98" i="1" s="1"/>
  <c r="P102" i="1"/>
  <c r="P98" i="1" s="1"/>
  <c r="O102" i="1"/>
  <c r="N102" i="1"/>
  <c r="M102" i="1"/>
  <c r="L102" i="1"/>
  <c r="K102" i="1"/>
  <c r="K98" i="1" s="1"/>
  <c r="J102" i="1"/>
  <c r="E102" i="1"/>
  <c r="AY101" i="1"/>
  <c r="AY99" i="1" s="1"/>
  <c r="AO101" i="1"/>
  <c r="AJ99" i="1"/>
  <c r="AI101" i="1"/>
  <c r="AH101" i="1"/>
  <c r="AH99" i="1" s="1"/>
  <c r="AG101" i="1"/>
  <c r="AF101" i="1"/>
  <c r="AF99" i="1" s="1"/>
  <c r="Y101" i="1"/>
  <c r="O101" i="1"/>
  <c r="O99" i="1" s="1"/>
  <c r="I101" i="1"/>
  <c r="G101" i="1"/>
  <c r="G99" i="1" s="1"/>
  <c r="F101" i="1"/>
  <c r="F99" i="1" s="1"/>
  <c r="D98" i="1"/>
  <c r="AM98" i="1"/>
  <c r="I97" i="1"/>
  <c r="H97" i="1"/>
  <c r="G97" i="1"/>
  <c r="F97" i="1"/>
  <c r="I96" i="1"/>
  <c r="H96" i="1"/>
  <c r="G96" i="1"/>
  <c r="F96" i="1"/>
  <c r="I95" i="1"/>
  <c r="H95" i="1"/>
  <c r="G95" i="1"/>
  <c r="F95" i="1"/>
  <c r="I94" i="1"/>
  <c r="H94" i="1"/>
  <c r="G94" i="1"/>
  <c r="F94" i="1"/>
  <c r="I93" i="1"/>
  <c r="H93" i="1"/>
  <c r="G93" i="1"/>
  <c r="F93" i="1"/>
  <c r="I92" i="1"/>
  <c r="H92" i="1"/>
  <c r="G92" i="1"/>
  <c r="F92" i="1"/>
  <c r="I91" i="1"/>
  <c r="H91" i="1"/>
  <c r="G91" i="1"/>
  <c r="F91" i="1"/>
  <c r="I90" i="1"/>
  <c r="H90" i="1"/>
  <c r="G90" i="1"/>
  <c r="F90" i="1"/>
  <c r="I89" i="1"/>
  <c r="H89" i="1"/>
  <c r="G89" i="1"/>
  <c r="F89" i="1"/>
  <c r="I88" i="1"/>
  <c r="H88" i="1"/>
  <c r="G88" i="1"/>
  <c r="F88" i="1"/>
  <c r="I87" i="1"/>
  <c r="H87" i="1"/>
  <c r="G87" i="1"/>
  <c r="F87" i="1"/>
  <c r="I86" i="1"/>
  <c r="H86" i="1"/>
  <c r="G86" i="1"/>
  <c r="F86" i="1"/>
  <c r="I85" i="1"/>
  <c r="H85" i="1"/>
  <c r="G85" i="1"/>
  <c r="F85" i="1"/>
  <c r="I84" i="1"/>
  <c r="H84" i="1"/>
  <c r="G84" i="1"/>
  <c r="F84" i="1"/>
  <c r="I83" i="1"/>
  <c r="H83" i="1"/>
  <c r="G83" i="1"/>
  <c r="F83" i="1"/>
  <c r="I69" i="1"/>
  <c r="H69" i="1"/>
  <c r="G69" i="1"/>
  <c r="F69" i="1"/>
  <c r="AO55" i="1"/>
  <c r="AI55" i="1"/>
  <c r="AH55" i="1"/>
  <c r="AG55" i="1"/>
  <c r="AF55" i="1"/>
  <c r="I55" i="1"/>
  <c r="H55" i="1"/>
  <c r="G55" i="1"/>
  <c r="F55" i="1"/>
  <c r="BC54" i="1"/>
  <c r="BC53" i="1" s="1"/>
  <c r="BB54" i="1"/>
  <c r="BB53" i="1" s="1"/>
  <c r="BA54" i="1"/>
  <c r="BA53" i="1" s="1"/>
  <c r="AZ54" i="1"/>
  <c r="AZ53" i="1" s="1"/>
  <c r="AX54" i="1"/>
  <c r="AX53" i="1" s="1"/>
  <c r="AW54" i="1"/>
  <c r="AW53" i="1" s="1"/>
  <c r="AV54" i="1"/>
  <c r="AV53" i="1" s="1"/>
  <c r="AU54" i="1"/>
  <c r="AU53" i="1" s="1"/>
  <c r="AT54" i="1"/>
  <c r="AT53" i="1" s="1"/>
  <c r="AS54" i="1"/>
  <c r="AS53" i="1" s="1"/>
  <c r="AR54" i="1"/>
  <c r="AR53" i="1" s="1"/>
  <c r="AQ54" i="1"/>
  <c r="AQ53" i="1" s="1"/>
  <c r="AP54" i="1"/>
  <c r="AP53" i="1" s="1"/>
  <c r="AN54" i="1"/>
  <c r="AN53" i="1" s="1"/>
  <c r="AM54" i="1"/>
  <c r="AM53" i="1" s="1"/>
  <c r="AK54" i="1"/>
  <c r="AK53" i="1" s="1"/>
  <c r="AC54" i="1"/>
  <c r="AC53" i="1" s="1"/>
  <c r="AB54" i="1"/>
  <c r="AB53" i="1" s="1"/>
  <c r="AA54" i="1"/>
  <c r="AA53" i="1" s="1"/>
  <c r="Z54" i="1"/>
  <c r="Z53" i="1" s="1"/>
  <c r="X54" i="1"/>
  <c r="X53" i="1" s="1"/>
  <c r="W54" i="1"/>
  <c r="W53" i="1" s="1"/>
  <c r="V54" i="1"/>
  <c r="V53" i="1" s="1"/>
  <c r="U54" i="1"/>
  <c r="U53" i="1" s="1"/>
  <c r="T54" i="1"/>
  <c r="T53" i="1" s="1"/>
  <c r="S54" i="1"/>
  <c r="S53" i="1" s="1"/>
  <c r="R54" i="1"/>
  <c r="R53" i="1" s="1"/>
  <c r="Q54" i="1"/>
  <c r="Q53" i="1" s="1"/>
  <c r="P54" i="1"/>
  <c r="P53" i="1" s="1"/>
  <c r="N54" i="1"/>
  <c r="N53" i="1" s="1"/>
  <c r="M54" i="1"/>
  <c r="M53" i="1" s="1"/>
  <c r="D54" i="1"/>
  <c r="D53" i="1" s="1"/>
  <c r="AO50" i="1"/>
  <c r="AI50" i="1"/>
  <c r="AH50" i="1"/>
  <c r="AG50" i="1"/>
  <c r="AF50" i="1"/>
  <c r="O50" i="1"/>
  <c r="AO48" i="1"/>
  <c r="AI48" i="1"/>
  <c r="AH48" i="1"/>
  <c r="AG48" i="1"/>
  <c r="AF48" i="1"/>
  <c r="O48" i="1"/>
  <c r="AO47" i="1"/>
  <c r="AI47" i="1"/>
  <c r="AH47" i="1"/>
  <c r="AG47" i="1"/>
  <c r="AF47" i="1"/>
  <c r="O47" i="1"/>
  <c r="AO39" i="1"/>
  <c r="AI39" i="1"/>
  <c r="AH39" i="1"/>
  <c r="AG39" i="1"/>
  <c r="AF39" i="1"/>
  <c r="O39" i="1"/>
  <c r="I39" i="1"/>
  <c r="I38" i="1" s="1"/>
  <c r="I37" i="1" s="1"/>
  <c r="H39" i="1"/>
  <c r="G39" i="1"/>
  <c r="G38" i="1" s="1"/>
  <c r="G37" i="1" s="1"/>
  <c r="F39" i="1"/>
  <c r="BC38" i="1"/>
  <c r="BC37" i="1" s="1"/>
  <c r="BB38" i="1"/>
  <c r="BB37" i="1" s="1"/>
  <c r="BA38" i="1"/>
  <c r="BA37" i="1" s="1"/>
  <c r="AZ38" i="1"/>
  <c r="AZ37" i="1" s="1"/>
  <c r="AY38" i="1"/>
  <c r="AY37" i="1" s="1"/>
  <c r="AX38" i="1"/>
  <c r="AX37" i="1" s="1"/>
  <c r="AX36" i="1" s="1"/>
  <c r="AW38" i="1"/>
  <c r="AW37" i="1" s="1"/>
  <c r="AV38" i="1"/>
  <c r="AV37" i="1" s="1"/>
  <c r="AU38" i="1"/>
  <c r="AU37" i="1" s="1"/>
  <c r="AT38" i="1"/>
  <c r="AT37" i="1" s="1"/>
  <c r="AS38" i="1"/>
  <c r="AS37" i="1" s="1"/>
  <c r="AS36" i="1" s="1"/>
  <c r="AR38" i="1"/>
  <c r="AR37" i="1" s="1"/>
  <c r="AQ38" i="1"/>
  <c r="AQ37" i="1" s="1"/>
  <c r="AP38" i="1"/>
  <c r="AP37" i="1" s="1"/>
  <c r="AN38" i="1"/>
  <c r="AN37" i="1" s="1"/>
  <c r="AM38" i="1"/>
  <c r="AM37" i="1" s="1"/>
  <c r="AL38" i="1"/>
  <c r="AL37" i="1" s="1"/>
  <c r="AK38" i="1"/>
  <c r="AK37" i="1" s="1"/>
  <c r="AC38" i="1"/>
  <c r="AC37" i="1" s="1"/>
  <c r="AB38" i="1"/>
  <c r="AB37" i="1" s="1"/>
  <c r="AA38" i="1"/>
  <c r="AA37" i="1" s="1"/>
  <c r="Z38" i="1"/>
  <c r="Z37" i="1" s="1"/>
  <c r="Y38" i="1"/>
  <c r="Y37" i="1" s="1"/>
  <c r="X38" i="1"/>
  <c r="X37" i="1" s="1"/>
  <c r="W38" i="1"/>
  <c r="W37" i="1" s="1"/>
  <c r="V38" i="1"/>
  <c r="V37" i="1" s="1"/>
  <c r="U38" i="1"/>
  <c r="U37" i="1" s="1"/>
  <c r="T38" i="1"/>
  <c r="T37" i="1" s="1"/>
  <c r="S38" i="1"/>
  <c r="S37" i="1" s="1"/>
  <c r="R38" i="1"/>
  <c r="R37" i="1" s="1"/>
  <c r="Q38" i="1"/>
  <c r="Q37" i="1" s="1"/>
  <c r="P38" i="1"/>
  <c r="P37" i="1" s="1"/>
  <c r="N38" i="1"/>
  <c r="N37" i="1" s="1"/>
  <c r="M38" i="1"/>
  <c r="M37" i="1" s="1"/>
  <c r="L38" i="1"/>
  <c r="L37" i="1" s="1"/>
  <c r="K38" i="1"/>
  <c r="K37" i="1" s="1"/>
  <c r="D38" i="1"/>
  <c r="D37" i="1" s="1"/>
  <c r="AO35" i="1"/>
  <c r="AJ35" i="1"/>
  <c r="AI35" i="1"/>
  <c r="AH35" i="1"/>
  <c r="AG35" i="1"/>
  <c r="AF35" i="1"/>
  <c r="H26" i="1"/>
  <c r="AO34" i="1"/>
  <c r="AJ34" i="1"/>
  <c r="AI34" i="1"/>
  <c r="AH34" i="1"/>
  <c r="AG34" i="1"/>
  <c r="AF34" i="1"/>
  <c r="AO28" i="1"/>
  <c r="AJ28" i="1"/>
  <c r="AI28" i="1"/>
  <c r="AH28" i="1"/>
  <c r="AG28" i="1"/>
  <c r="AF28" i="1"/>
  <c r="M26" i="1"/>
  <c r="K26" i="1"/>
  <c r="AO27" i="1"/>
  <c r="AJ27" i="1"/>
  <c r="AI27" i="1"/>
  <c r="AH27" i="1"/>
  <c r="AG27" i="1"/>
  <c r="AF27" i="1"/>
  <c r="O27" i="1"/>
  <c r="G27" i="1"/>
  <c r="F27" i="1"/>
  <c r="BC23" i="1"/>
  <c r="BC22" i="1" s="1"/>
  <c r="BB23" i="1"/>
  <c r="BB22" i="1" s="1"/>
  <c r="AZ23" i="1"/>
  <c r="AZ22" i="1" s="1"/>
  <c r="AX23" i="1"/>
  <c r="AX22" i="1" s="1"/>
  <c r="AV23" i="1"/>
  <c r="AV22" i="1" s="1"/>
  <c r="AU23" i="1"/>
  <c r="AU22" i="1" s="1"/>
  <c r="AT23" i="1"/>
  <c r="AT22" i="1" s="1"/>
  <c r="AR23" i="1"/>
  <c r="AR22" i="1" s="1"/>
  <c r="AQ23" i="1"/>
  <c r="AQ22" i="1" s="1"/>
  <c r="AP23" i="1"/>
  <c r="AP22" i="1" s="1"/>
  <c r="AN23" i="1"/>
  <c r="AN22" i="1" s="1"/>
  <c r="AB23" i="1"/>
  <c r="AB22" i="1" s="1"/>
  <c r="AA23" i="1"/>
  <c r="AA22" i="1" s="1"/>
  <c r="X23" i="1"/>
  <c r="X22" i="1" s="1"/>
  <c r="W23" i="1"/>
  <c r="W22" i="1" s="1"/>
  <c r="V23" i="1"/>
  <c r="V22" i="1" s="1"/>
  <c r="S23" i="1"/>
  <c r="S22" i="1" s="1"/>
  <c r="R23" i="1"/>
  <c r="R22" i="1" s="1"/>
  <c r="P23" i="1"/>
  <c r="P22" i="1" s="1"/>
  <c r="D23" i="1"/>
  <c r="D22" i="1" s="1"/>
  <c r="AO25" i="1"/>
  <c r="AI25" i="1"/>
  <c r="AH25" i="1"/>
  <c r="AG25" i="1"/>
  <c r="AF25" i="1"/>
  <c r="T25" i="1"/>
  <c r="O25" i="1"/>
  <c r="H25" i="1"/>
  <c r="G25" i="1"/>
  <c r="I25" i="1"/>
  <c r="AO24" i="1"/>
  <c r="AI24" i="1"/>
  <c r="AH24" i="1"/>
  <c r="AG24" i="1"/>
  <c r="AF24" i="1"/>
  <c r="T24" i="1"/>
  <c r="O24" i="1"/>
  <c r="N23" i="1"/>
  <c r="N22" i="1" s="1"/>
  <c r="H24" i="1"/>
  <c r="F24" i="1"/>
  <c r="BA23" i="1"/>
  <c r="BA22" i="1" s="1"/>
  <c r="AW23" i="1"/>
  <c r="AW22" i="1" s="1"/>
  <c r="AS23" i="1"/>
  <c r="AS22" i="1" s="1"/>
  <c r="AM23" i="1"/>
  <c r="AM22" i="1" s="1"/>
  <c r="AL23" i="1"/>
  <c r="AL22" i="1" s="1"/>
  <c r="AK23" i="1"/>
  <c r="AK22" i="1" s="1"/>
  <c r="AC23" i="1"/>
  <c r="AC22" i="1" s="1"/>
  <c r="Z23" i="1"/>
  <c r="Z22" i="1" s="1"/>
  <c r="U23" i="1"/>
  <c r="U22" i="1" s="1"/>
  <c r="Q23" i="1"/>
  <c r="Q22" i="1" s="1"/>
  <c r="AN36" i="1" l="1"/>
  <c r="AK36" i="1"/>
  <c r="AQ36" i="1"/>
  <c r="AU36" i="1"/>
  <c r="AU20" i="1" s="1"/>
  <c r="AU21" i="1" s="1"/>
  <c r="AM36" i="1"/>
  <c r="AR36" i="1"/>
  <c r="AV36" i="1"/>
  <c r="AZ36" i="1"/>
  <c r="BC36" i="1"/>
  <c r="BC20" i="1" s="1"/>
  <c r="BC21" i="1" s="1"/>
  <c r="BA36" i="1"/>
  <c r="AE55" i="1"/>
  <c r="O98" i="1"/>
  <c r="AJ98" i="1"/>
  <c r="AH38" i="1"/>
  <c r="AH37" i="1" s="1"/>
  <c r="AG38" i="1"/>
  <c r="AG37" i="1" s="1"/>
  <c r="D36" i="1"/>
  <c r="D20" i="1" s="1"/>
  <c r="D21" i="1" s="1"/>
  <c r="H136" i="1"/>
  <c r="AF136" i="1"/>
  <c r="AE142" i="1"/>
  <c r="E34" i="1"/>
  <c r="AH26" i="1"/>
  <c r="AH23" i="1" s="1"/>
  <c r="AH22" i="1" s="1"/>
  <c r="F28" i="1"/>
  <c r="F26" i="1" s="1"/>
  <c r="O26" i="1"/>
  <c r="O23" i="1" s="1"/>
  <c r="O22" i="1" s="1"/>
  <c r="AG136" i="1"/>
  <c r="AE25" i="1"/>
  <c r="AJ26" i="1"/>
  <c r="AJ23" i="1" s="1"/>
  <c r="AJ22" i="1" s="1"/>
  <c r="E35" i="1"/>
  <c r="G35" i="1"/>
  <c r="H101" i="1"/>
  <c r="H99" i="1" s="1"/>
  <c r="H98" i="1" s="1"/>
  <c r="M99" i="1"/>
  <c r="M98" i="1" s="1"/>
  <c r="M36" i="1" s="1"/>
  <c r="AO99" i="1"/>
  <c r="AO98" i="1" s="1"/>
  <c r="F136" i="1"/>
  <c r="O136" i="1"/>
  <c r="AH136" i="1"/>
  <c r="I99" i="1"/>
  <c r="I98" i="1" s="1"/>
  <c r="G28" i="1"/>
  <c r="L26" i="1"/>
  <c r="L23" i="1" s="1"/>
  <c r="L22" i="1" s="1"/>
  <c r="G136" i="1"/>
  <c r="Y99" i="1"/>
  <c r="Y98" i="1" s="1"/>
  <c r="AI99" i="1"/>
  <c r="AI98" i="1" s="1"/>
  <c r="AO136" i="1"/>
  <c r="AI136" i="1"/>
  <c r="AJ136" i="1"/>
  <c r="AF26" i="1"/>
  <c r="AF23" i="1" s="1"/>
  <c r="AF22" i="1" s="1"/>
  <c r="Y136" i="1"/>
  <c r="E137" i="1"/>
  <c r="E145" i="1"/>
  <c r="AG26" i="1"/>
  <c r="AG23" i="1" s="1"/>
  <c r="AG22" i="1" s="1"/>
  <c r="AO26" i="1"/>
  <c r="AO23" i="1" s="1"/>
  <c r="AO22" i="1" s="1"/>
  <c r="AG99" i="1"/>
  <c r="AG98" i="1" s="1"/>
  <c r="AI26" i="1"/>
  <c r="AI23" i="1" s="1"/>
  <c r="AI22" i="1" s="1"/>
  <c r="Y26" i="1"/>
  <c r="Y23" i="1" s="1"/>
  <c r="Y22" i="1" s="1"/>
  <c r="J99" i="1"/>
  <c r="J98" i="1" s="1"/>
  <c r="F25" i="1"/>
  <c r="X36" i="1"/>
  <c r="X20" i="1" s="1"/>
  <c r="X21" i="1" s="1"/>
  <c r="AE140" i="1"/>
  <c r="E142" i="1"/>
  <c r="E143" i="1"/>
  <c r="AE143" i="1"/>
  <c r="K23" i="1"/>
  <c r="K22" i="1" s="1"/>
  <c r="AY23" i="1"/>
  <c r="AY22" i="1" s="1"/>
  <c r="K54" i="1"/>
  <c r="K53" i="1" s="1"/>
  <c r="K36" i="1" s="1"/>
  <c r="G54" i="1"/>
  <c r="G53" i="1" s="1"/>
  <c r="AB98" i="1"/>
  <c r="AB36" i="1" s="1"/>
  <c r="AE144" i="1"/>
  <c r="E27" i="1"/>
  <c r="L54" i="1"/>
  <c r="L53" i="1" s="1"/>
  <c r="L98" i="1"/>
  <c r="T98" i="1"/>
  <c r="T36" i="1" s="1"/>
  <c r="E139" i="1"/>
  <c r="E144" i="1"/>
  <c r="M23" i="1"/>
  <c r="M22" i="1" s="1"/>
  <c r="I137" i="1"/>
  <c r="J136" i="1"/>
  <c r="AO38" i="1"/>
  <c r="AO37" i="1" s="1"/>
  <c r="AL98" i="1"/>
  <c r="AP98" i="1"/>
  <c r="AP36" i="1" s="1"/>
  <c r="AO36" i="1" s="1"/>
  <c r="F98" i="1"/>
  <c r="E140" i="1"/>
  <c r="AE145" i="1"/>
  <c r="S36" i="1"/>
  <c r="O38" i="1"/>
  <c r="O37" i="1" s="1"/>
  <c r="AW98" i="1"/>
  <c r="AW36" i="1" s="1"/>
  <c r="N98" i="1"/>
  <c r="N36" i="1" s="1"/>
  <c r="R98" i="1"/>
  <c r="R36" i="1" s="1"/>
  <c r="V98" i="1"/>
  <c r="V36" i="1" s="1"/>
  <c r="V20" i="1" s="1"/>
  <c r="V21" i="1" s="1"/>
  <c r="Z98" i="1"/>
  <c r="Z36" i="1" s="1"/>
  <c r="AF98" i="1"/>
  <c r="P36" i="1"/>
  <c r="AN20" i="1"/>
  <c r="AN21" i="1" s="1"/>
  <c r="AE48" i="1"/>
  <c r="AH98" i="1"/>
  <c r="BB98" i="1"/>
  <c r="G98" i="1"/>
  <c r="AE139" i="1"/>
  <c r="H23" i="1"/>
  <c r="H22" i="1" s="1"/>
  <c r="E88" i="1"/>
  <c r="AT98" i="1"/>
  <c r="E25" i="1"/>
  <c r="O54" i="1"/>
  <c r="O53" i="1" s="1"/>
  <c r="E83" i="1"/>
  <c r="E87" i="1"/>
  <c r="E91" i="1"/>
  <c r="E95" i="1"/>
  <c r="AA36" i="1"/>
  <c r="W36" i="1"/>
  <c r="AQ20" i="1"/>
  <c r="AQ21" i="1" s="1"/>
  <c r="Q36" i="1"/>
  <c r="Q20" i="1" s="1"/>
  <c r="Q21" i="1" s="1"/>
  <c r="U36" i="1"/>
  <c r="U20" i="1" s="1"/>
  <c r="U21" i="1" s="1"/>
  <c r="AC36" i="1"/>
  <c r="AK20" i="1"/>
  <c r="AK21" i="1" s="1"/>
  <c r="AH105" i="1"/>
  <c r="AI105" i="1"/>
  <c r="AG105" i="1"/>
  <c r="E96" i="1"/>
  <c r="AF105" i="1"/>
  <c r="O105" i="1"/>
  <c r="AE35" i="1"/>
  <c r="AF38" i="1"/>
  <c r="AF37" i="1" s="1"/>
  <c r="AE47" i="1"/>
  <c r="AE28" i="1"/>
  <c r="AJ38" i="1"/>
  <c r="AJ37" i="1" s="1"/>
  <c r="E86" i="1"/>
  <c r="E89" i="1"/>
  <c r="E94" i="1"/>
  <c r="E97" i="1"/>
  <c r="E84" i="1"/>
  <c r="E92" i="1"/>
  <c r="AE34" i="1"/>
  <c r="E55" i="1"/>
  <c r="AH54" i="1"/>
  <c r="AH53" i="1" s="1"/>
  <c r="I54" i="1"/>
  <c r="I53" i="1" s="1"/>
  <c r="AI54" i="1"/>
  <c r="AI53" i="1" s="1"/>
  <c r="AY54" i="1"/>
  <c r="AY53" i="1" s="1"/>
  <c r="AY36" i="1" s="1"/>
  <c r="E69" i="1"/>
  <c r="E85" i="1"/>
  <c r="E90" i="1"/>
  <c r="E93" i="1"/>
  <c r="G24" i="1"/>
  <c r="T23" i="1"/>
  <c r="T22" i="1" s="1"/>
  <c r="AE27" i="1"/>
  <c r="AE24" i="1"/>
  <c r="Y105" i="1"/>
  <c r="I24" i="1"/>
  <c r="AE39" i="1"/>
  <c r="H38" i="1"/>
  <c r="H37" i="1" s="1"/>
  <c r="AI38" i="1"/>
  <c r="AI37" i="1" s="1"/>
  <c r="H54" i="1"/>
  <c r="H53" i="1" s="1"/>
  <c r="Y54" i="1"/>
  <c r="Y53" i="1" s="1"/>
  <c r="AE101" i="1"/>
  <c r="AE99" i="1" s="1"/>
  <c r="AE103" i="1"/>
  <c r="AE102" i="1" s="1"/>
  <c r="AY102" i="1"/>
  <c r="AY98" i="1" s="1"/>
  <c r="AF54" i="1"/>
  <c r="AF53" i="1" s="1"/>
  <c r="AO54" i="1"/>
  <c r="AO53" i="1" s="1"/>
  <c r="AO105" i="1"/>
  <c r="E39" i="1"/>
  <c r="E38" i="1" s="1"/>
  <c r="F38" i="1"/>
  <c r="F37" i="1" s="1"/>
  <c r="J38" i="1"/>
  <c r="J37" i="1" s="1"/>
  <c r="AE50" i="1"/>
  <c r="J54" i="1"/>
  <c r="J53" i="1" s="1"/>
  <c r="E101" i="1"/>
  <c r="E99" i="1" s="1"/>
  <c r="L105" i="1"/>
  <c r="AJ105" i="1"/>
  <c r="AE137" i="1"/>
  <c r="AT36" i="1" l="1"/>
  <c r="BB36" i="1"/>
  <c r="BB20" i="1" s="1"/>
  <c r="BB21" i="1" s="1"/>
  <c r="AE98" i="1"/>
  <c r="J26" i="1"/>
  <c r="J23" i="1" s="1"/>
  <c r="J22" i="1" s="1"/>
  <c r="AV20" i="1"/>
  <c r="AV21" i="1" s="1"/>
  <c r="P20" i="1"/>
  <c r="P21" i="1" s="1"/>
  <c r="G26" i="1"/>
  <c r="G23" i="1" s="1"/>
  <c r="G22" i="1" s="1"/>
  <c r="E28" i="1"/>
  <c r="E26" i="1" s="1"/>
  <c r="I36" i="1"/>
  <c r="Y36" i="1"/>
  <c r="AH36" i="1"/>
  <c r="AH20" i="1" s="1"/>
  <c r="AH21" i="1" s="1"/>
  <c r="AE136" i="1"/>
  <c r="I136" i="1"/>
  <c r="E136" i="1"/>
  <c r="AE26" i="1"/>
  <c r="AE23" i="1" s="1"/>
  <c r="AE22" i="1" s="1"/>
  <c r="E98" i="1"/>
  <c r="AR20" i="1"/>
  <c r="AR21" i="1" s="1"/>
  <c r="AO20" i="1"/>
  <c r="AO21" i="1" s="1"/>
  <c r="L36" i="1"/>
  <c r="AZ20" i="1"/>
  <c r="AZ21" i="1" s="1"/>
  <c r="F23" i="1"/>
  <c r="F22" i="1" s="1"/>
  <c r="G36" i="1"/>
  <c r="R20" i="1"/>
  <c r="R21" i="1" s="1"/>
  <c r="K20" i="1"/>
  <c r="K21" i="1" s="1"/>
  <c r="S20" i="1"/>
  <c r="S21" i="1" s="1"/>
  <c r="AA20" i="1"/>
  <c r="AA21" i="1" s="1"/>
  <c r="AY20" i="1"/>
  <c r="AY21" i="1" s="1"/>
  <c r="AB20" i="1"/>
  <c r="AB21" i="1" s="1"/>
  <c r="AS20" i="1"/>
  <c r="AS21" i="1" s="1"/>
  <c r="AM20" i="1"/>
  <c r="AM21" i="1" s="1"/>
  <c r="Z20" i="1"/>
  <c r="Z21" i="1" s="1"/>
  <c r="O36" i="1"/>
  <c r="O20" i="1" s="1"/>
  <c r="O21" i="1" s="1"/>
  <c r="N20" i="1"/>
  <c r="N21" i="1" s="1"/>
  <c r="T20" i="1"/>
  <c r="T21" i="1" s="1"/>
  <c r="W20" i="1"/>
  <c r="W21" i="1" s="1"/>
  <c r="AF36" i="1"/>
  <c r="AC20" i="1"/>
  <c r="AC21" i="1" s="1"/>
  <c r="M20" i="1"/>
  <c r="M21" i="1" s="1"/>
  <c r="AX20" i="1"/>
  <c r="AX21" i="1" s="1"/>
  <c r="AP20" i="1"/>
  <c r="AP21" i="1" s="1"/>
  <c r="AE105" i="1"/>
  <c r="AI36" i="1"/>
  <c r="E54" i="1"/>
  <c r="E53" i="1" s="1"/>
  <c r="F54" i="1"/>
  <c r="F53" i="1" s="1"/>
  <c r="F36" i="1" s="1"/>
  <c r="H36" i="1"/>
  <c r="E37" i="1"/>
  <c r="AE38" i="1"/>
  <c r="AE37" i="1" s="1"/>
  <c r="AW20" i="1"/>
  <c r="AW21" i="1" s="1"/>
  <c r="J36" i="1"/>
  <c r="I23" i="1"/>
  <c r="I22" i="1" s="1"/>
  <c r="J105" i="1"/>
  <c r="BA20" i="1"/>
  <c r="BA21" i="1" s="1"/>
  <c r="E24" i="1"/>
  <c r="AI20" i="1" l="1"/>
  <c r="AI21" i="1" s="1"/>
  <c r="L20" i="1"/>
  <c r="L21" i="1" s="1"/>
  <c r="Y20" i="1"/>
  <c r="Y21" i="1" s="1"/>
  <c r="G20" i="1"/>
  <c r="G21" i="1" s="1"/>
  <c r="AT20" i="1"/>
  <c r="AT21" i="1" s="1"/>
  <c r="I20" i="1"/>
  <c r="I21" i="1" s="1"/>
  <c r="AF20" i="1"/>
  <c r="AF21" i="1" s="1"/>
  <c r="E36" i="1"/>
  <c r="H20" i="1"/>
  <c r="H21" i="1" s="1"/>
  <c r="E23" i="1"/>
  <c r="E22" i="1" s="1"/>
  <c r="J20" i="1"/>
  <c r="J21" i="1" s="1"/>
  <c r="F20" i="1"/>
  <c r="F21" i="1" s="1"/>
  <c r="E20" i="1" l="1"/>
  <c r="E21" i="1" s="1"/>
  <c r="AJ54" i="1" l="1"/>
  <c r="AJ53" i="1" s="1"/>
  <c r="AE54" i="1"/>
  <c r="AE53" i="1" s="1"/>
  <c r="AE36" i="1" s="1"/>
  <c r="AL54" i="1"/>
  <c r="AL53" i="1" s="1"/>
  <c r="AL36" i="1" s="1"/>
  <c r="AJ36" i="1" s="1"/>
  <c r="AG87" i="1"/>
  <c r="AG54" i="1" s="1"/>
  <c r="AG53" i="1" s="1"/>
  <c r="AG36" i="1" s="1"/>
  <c r="AL20" i="1" l="1"/>
  <c r="AL21" i="1" s="1"/>
  <c r="AG20" i="1"/>
  <c r="AG21" i="1" s="1"/>
  <c r="AE20" i="1"/>
  <c r="AE21" i="1" s="1"/>
  <c r="AJ20" i="1" l="1"/>
  <c r="AJ21" i="1" s="1"/>
</calcChain>
</file>

<file path=xl/sharedStrings.xml><?xml version="1.0" encoding="utf-8"?>
<sst xmlns="http://schemas.openxmlformats.org/spreadsheetml/2006/main" count="656" uniqueCount="438">
  <si>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</si>
  <si>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</si>
  <si>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</si>
  <si>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</si>
  <si>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</si>
  <si>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</si>
  <si>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</si>
  <si>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</si>
  <si>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</si>
  <si>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</si>
  <si>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</si>
  <si>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</si>
  <si>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</si>
  <si>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</si>
  <si>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</si>
  <si>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</si>
  <si>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</si>
  <si>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</si>
  <si>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</si>
  <si>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</si>
  <si>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</si>
  <si>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</si>
  <si>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</si>
  <si>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</si>
  <si>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</si>
  <si>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</si>
  <si>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</si>
  <si>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</si>
  <si>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</si>
  <si>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</si>
  <si>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</si>
  <si>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</si>
  <si>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</si>
  <si>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</si>
  <si>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</si>
  <si>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</si>
  <si>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</si>
  <si>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</si>
  <si>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</si>
  <si>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</si>
  <si>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</si>
  <si>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</si>
  <si>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</si>
  <si>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</si>
  <si>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</si>
  <si>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</si>
  <si>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</si>
  <si>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</si>
  <si>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</si>
  <si>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</si>
  <si>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</si>
  <si>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7.1</t>
  </si>
  <si>
    <t>7.2</t>
  </si>
  <si>
    <t>7.3</t>
  </si>
  <si>
    <t>7.4</t>
  </si>
  <si>
    <t>7.5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</si>
  <si>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</si>
  <si>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</si>
  <si>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</si>
  <si>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</si>
  <si>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</si>
  <si>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</si>
  <si>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</si>
  <si>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</si>
  <si>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</si>
  <si>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</si>
  <si>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</si>
  <si>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</si>
  <si>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</si>
  <si>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</si>
  <si>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</si>
  <si>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</si>
  <si>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</si>
  <si>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</si>
  <si>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</si>
  <si>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</si>
  <si>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</si>
  <si>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</si>
  <si>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</si>
  <si>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</si>
  <si>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</si>
  <si>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</si>
  <si>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</si>
  <si>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</si>
  <si>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</si>
  <si>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</si>
  <si>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</si>
  <si>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</si>
  <si>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</si>
  <si>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</si>
  <si>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</si>
  <si>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нд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</si>
  <si>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</si>
  <si>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</si>
  <si>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</si>
  <si>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</si>
  <si>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</si>
  <si>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</si>
  <si>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</si>
  <si>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</si>
  <si>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</si>
  <si>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</si>
  <si>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</si>
  <si>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</si>
  <si>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</si>
  <si>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</si>
  <si>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</si>
  <si>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</si>
  <si>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</si>
  <si>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</si>
  <si>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</si>
  <si>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</si>
  <si>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</si>
  <si>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</si>
  <si>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</si>
  <si>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</si>
  <si>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</si>
  <si>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</si>
  <si>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</si>
  <si>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</si>
  <si>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</si>
  <si>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</si>
  <si>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</si>
  <si>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</si>
  <si>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</si>
  <si>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</si>
  <si>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</si>
  <si>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</si>
  <si>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</si>
  <si>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</si>
  <si>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</si>
  <si>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</si>
  <si>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</si>
  <si>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</si>
  <si>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</si>
  <si>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</si>
  <si>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</si>
  <si>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</si>
  <si>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</si>
  <si>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</si>
  <si>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</si>
  <si>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</si>
  <si>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</si>
  <si>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</si>
  <si>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</si>
  <si>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</si>
  <si>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</si>
  <si>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</si>
  <si>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</si>
  <si>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</si>
  <si>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</si>
  <si>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1.4.11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</si>
  <si>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</si>
  <si>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</si>
  <si>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</si>
  <si>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</si>
  <si>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</si>
  <si>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</si>
  <si>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</si>
  <si>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</si>
  <si>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</si>
  <si>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</si>
  <si>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</si>
  <si>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</si>
  <si>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</si>
  <si>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</si>
  <si>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</si>
  <si>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</si>
  <si>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</si>
  <si>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</si>
  <si>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</si>
  <si>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</si>
  <si>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</si>
  <si>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</si>
  <si>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</si>
  <si>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</si>
  <si>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</si>
  <si>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</si>
  <si>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</si>
  <si>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</si>
  <si>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</si>
  <si>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</si>
  <si>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</si>
  <si>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</si>
  <si>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</si>
  <si>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</si>
  <si>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</si>
  <si>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</si>
  <si>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</si>
  <si>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</si>
  <si>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</si>
  <si>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</si>
  <si>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</si>
  <si>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</si>
  <si>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</si>
  <si>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</si>
  <si>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</si>
  <si>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</si>
  <si>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</si>
  <si>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</si>
  <si>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</si>
  <si>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</si>
  <si>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</si>
  <si>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</si>
  <si>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</si>
  <si>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</si>
  <si>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</si>
  <si>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</si>
  <si>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</si>
  <si>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</si>
  <si>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</si>
  <si>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</si>
  <si>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</si>
  <si>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</si>
  <si>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</si>
  <si>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</si>
  <si>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</si>
  <si>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</si>
  <si>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</si>
  <si>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</si>
  <si>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</si>
  <si>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</si>
  <si>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</si>
  <si>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Освоение капитальных вложений 2025 года, млн. рублей (без НДС)</t>
  </si>
  <si>
    <t>Финансирование капитальных вложений 2025 года, млн. рублей (с НДС)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</si>
  <si>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</si>
  <si>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</si>
  <si>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</si>
  <si>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</si>
  <si>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</si>
  <si>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</si>
  <si>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</si>
  <si>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</si>
  <si>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</si>
  <si>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</si>
  <si>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</si>
  <si>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</si>
  <si>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</si>
  <si>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</si>
  <si>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</si>
  <si>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</si>
  <si>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</si>
  <si>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</si>
  <si>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</si>
  <si>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</si>
  <si>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</si>
  <si>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</si>
  <si>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</si>
  <si>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</si>
  <si>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</si>
  <si>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</si>
  <si>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</si>
  <si>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</si>
  <si>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</si>
  <si>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</si>
  <si>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</si>
  <si>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</si>
  <si>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</si>
  <si>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</si>
  <si>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</si>
  <si>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</si>
  <si>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</si>
  <si>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</si>
  <si>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</si>
  <si>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</si>
  <si>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</si>
  <si>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</si>
  <si>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</si>
  <si>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</si>
  <si>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</si>
  <si>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</si>
  <si>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</si>
  <si>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</si>
  <si>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</si>
  <si>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</si>
  <si>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</si>
  <si>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</si>
  <si>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>I_0000000136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</si>
  <si>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</si>
  <si>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</si>
  <si>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</si>
  <si>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</si>
  <si>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</si>
  <si>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</si>
  <si>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</si>
  <si>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</si>
  <si>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</si>
  <si>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</si>
  <si>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</si>
  <si>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</si>
  <si>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</si>
  <si>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</si>
  <si>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</si>
  <si>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</si>
  <si>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</si>
  <si>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</si>
  <si>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</si>
  <si>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</si>
  <si>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</si>
  <si>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</si>
  <si>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</si>
  <si>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</si>
  <si>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</si>
  <si>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</si>
  <si>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</si>
  <si>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</si>
  <si>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</si>
  <si>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</si>
  <si>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</si>
  <si>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</si>
  <si>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</si>
  <si>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</si>
  <si>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</si>
  <si>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</si>
  <si>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</si>
  <si>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</si>
  <si>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</si>
  <si>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</si>
  <si>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</si>
  <si>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</si>
  <si>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</si>
  <si>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</si>
  <si>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</si>
  <si>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</si>
  <si>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</si>
  <si>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</si>
  <si>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</si>
  <si>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</si>
  <si>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</si>
  <si>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</si>
  <si>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</si>
  <si>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</si>
  <si>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</si>
  <si>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</si>
  <si>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месяцев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</si>
  <si>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</si>
  <si>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</si>
  <si>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</si>
  <si>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</si>
  <si>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</si>
  <si>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</si>
  <si>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</si>
  <si>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</si>
  <si>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</si>
  <si>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</si>
  <si>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</si>
  <si>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</si>
  <si>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</si>
  <si>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</si>
  <si>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</si>
  <si>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</si>
  <si>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</si>
  <si>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</si>
  <si>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</si>
  <si>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</si>
  <si>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</si>
  <si>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</si>
  <si>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</si>
  <si>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</si>
  <si>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</si>
  <si>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</si>
  <si>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</si>
  <si>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</si>
  <si>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</si>
  <si>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</si>
  <si>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</si>
  <si>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</si>
  <si>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</si>
  <si>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</si>
  <si>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</si>
  <si>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</si>
  <si>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</si>
  <si>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</si>
  <si>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</si>
  <si>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</si>
  <si>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офисные программы</t>
  </si>
  <si>
    <t>J_2000000447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</si>
  <si>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</si>
  <si>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</si>
  <si>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</si>
  <si>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</si>
  <si>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Строительство КВЛ-0,4 кВ от ТП-217, L=71 м.,пр. Алексеевский, г. Всеволожск. (Ясашнев В.С. № 24/Д-535 от 12.12.2024 г.)</t>
  </si>
  <si>
    <t>P_2520031604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</si>
  <si>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</si>
  <si>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</si>
  <si>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</si>
  <si>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</si>
  <si>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</si>
  <si>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</si>
  <si>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</si>
  <si>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</si>
  <si>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</si>
  <si>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</si>
  <si>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</si>
  <si>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</si>
  <si>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</si>
  <si>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</si>
  <si>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</si>
  <si>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</si>
  <si>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</si>
  <si>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</si>
  <si>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</si>
  <si>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</si>
  <si>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</si>
  <si>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</si>
  <si>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</si>
  <si>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</si>
  <si>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</si>
  <si>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</si>
  <si>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</si>
  <si>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</si>
  <si>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</si>
  <si>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</si>
  <si>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</si>
  <si>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</si>
  <si>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</si>
  <si>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</si>
  <si>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</si>
  <si>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</si>
  <si>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</si>
  <si>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</si>
  <si>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</si>
  <si>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</si>
  <si>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</si>
  <si>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</si>
  <si>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</si>
  <si>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</si>
  <si>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</si>
  <si>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</si>
  <si>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</si>
  <si>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</si>
  <si>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</si>
  <si>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</si>
  <si>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</si>
  <si>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</si>
  <si>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</si>
  <si>
    <t>к приказу Минэнерго России</t>
  </si>
  <si>
    <t>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</si>
</sst>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6" fillId="0" borderId="0"/>
  </cellStyleXfs>
  <cellXfs count="73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vertical="top"/>
    </xf>
    <xf numFmtId="2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49" fontId="1" fillId="0" borderId="3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" fontId="4" fillId="0" borderId="3" xfId="1" applyNumberFormat="1" applyFont="1" applyFill="1" applyBorder="1" applyAlignment="1">
      <alignment horizontal="center" vertical="center"/>
    </xf>
    <xf numFmtId="2" fontId="5" fillId="0" borderId="3" xfId="1" applyNumberFormat="1" applyFont="1" applyFill="1" applyBorder="1" applyAlignment="1">
      <alignment horizontal="center" vertical="center"/>
    </xf>
    <xf numFmtId="2" fontId="4" fillId="0" borderId="3" xfId="1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2" fontId="5" fillId="0" borderId="3" xfId="0" applyNumberFormat="1" applyFont="1" applyFill="1" applyBorder="1" applyAlignment="1">
      <alignment horizontal="center" vertical="center"/>
    </xf>
    <xf numFmtId="2" fontId="1" fillId="0" borderId="3" xfId="4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0" fontId="1" fillId="0" borderId="2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textRotation="90" wrapText="1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top" wrapText="1"/>
    </xf>
    <xf numFmtId="2" fontId="1" fillId="0" borderId="3" xfId="3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2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justify" vertical="center"/>
    </xf>
    <xf numFmtId="0" fontId="7" fillId="0" borderId="3" xfId="0" quotePrefix="1" applyFont="1" applyFill="1" applyBorder="1" applyAlignment="1">
      <alignment horizontal="left" vertical="center" wrapText="1"/>
    </xf>
    <xf numFmtId="0" fontId="4" fillId="0" borderId="3" xfId="2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/>
    </xf>
    <xf numFmtId="2" fontId="9" fillId="0" borderId="3" xfId="1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5" applyNumberFormat="1" applyFont="1" applyFill="1" applyBorder="1" applyAlignment="1" applyProtection="1">
      <alignment horizontal="center" vertical="center" wrapText="1"/>
      <protection locked="0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416">
    <dxf>
      <fill>
        <patternFill>
          <bgColor rgb="FFFF0000"/>
        </patternFill>
      </fill>
    </dxf>
    <dxf>
      <fill>
        <patternFill>
          <bgColor rgb="FFFF99FF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99CC"/>
        </patternFill>
      </fill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59996337778862885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99FF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ont>
        <strike val="0"/>
        <color rgb="FFFFFF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45"/>
  <sheetViews>
    <sheetView tabSelected="1" zoomScale="73" zoomScaleNormal="73" workbookViewId="0"/>
  </sheetViews>
  <sheetFormatPr defaultColWidth="9.140625" defaultRowHeight="15.75" x14ac:dyDescent="0.25"/>
  <cols>
    <col min="1" max="1" width="12.85546875" style="1" customWidth="1"/>
    <col min="2" max="2" width="53.85546875" style="2" customWidth="1"/>
    <col min="3" max="3" width="18" style="1" customWidth="1"/>
    <col min="4" max="4" width="8.5703125" style="1" customWidth="1"/>
    <col min="5" max="5" width="9.42578125" style="1" customWidth="1"/>
    <col min="6" max="6" width="6.85546875" style="1" customWidth="1"/>
    <col min="7" max="7" width="9.85546875" style="1" customWidth="1"/>
    <col min="8" max="8" width="8.5703125" style="1" customWidth="1"/>
    <col min="9" max="9" width="7.140625" style="1" customWidth="1"/>
    <col min="10" max="10" width="9.85546875" style="1" customWidth="1"/>
    <col min="11" max="11" width="6.85546875" style="1" customWidth="1"/>
    <col min="12" max="12" width="9.85546875" style="1" customWidth="1"/>
    <col min="13" max="13" width="8.5703125" style="1" customWidth="1"/>
    <col min="14" max="14" width="5.85546875" style="1" customWidth="1"/>
    <col min="15" max="19" width="7.5703125" style="1" customWidth="1"/>
    <col min="20" max="20" width="8.28515625" style="1" customWidth="1"/>
    <col min="21" max="21" width="7.5703125" style="1" customWidth="1"/>
    <col min="22" max="22" width="9.42578125" style="1" customWidth="1"/>
    <col min="23" max="24" width="7.5703125" style="1" customWidth="1"/>
    <col min="25" max="25" width="10.5703125" style="1" customWidth="1"/>
    <col min="26" max="26" width="7.5703125" style="1" customWidth="1"/>
    <col min="27" max="27" width="9.42578125" style="1" customWidth="1"/>
    <col min="28" max="28" width="7.5703125" style="1" customWidth="1"/>
    <col min="29" max="29" width="10.85546875" style="1" customWidth="1"/>
    <col min="30" max="30" width="8.28515625" style="1" customWidth="1"/>
    <col min="31" max="31" width="9.85546875" style="1" customWidth="1"/>
    <col min="32" max="32" width="7.5703125" style="1" customWidth="1"/>
    <col min="33" max="33" width="10" style="1" bestFit="1" customWidth="1"/>
    <col min="34" max="35" width="7.5703125" style="1" customWidth="1"/>
    <col min="36" max="36" width="11" style="1" customWidth="1"/>
    <col min="37" max="45" width="7.5703125" style="1" customWidth="1"/>
    <col min="46" max="46" width="8.5703125" style="1" customWidth="1"/>
    <col min="47" max="47" width="7.5703125" style="1" customWidth="1"/>
    <col min="48" max="48" width="8.85546875" style="1" customWidth="1"/>
    <col min="49" max="50" width="7.5703125" style="1" customWidth="1"/>
    <col min="51" max="51" width="8.28515625" style="1" bestFit="1" customWidth="1"/>
    <col min="52" max="52" width="7.5703125" style="1" customWidth="1"/>
    <col min="53" max="53" width="9.85546875" style="1" customWidth="1"/>
    <col min="54" max="55" width="7.5703125" style="1" customWidth="1"/>
    <col min="56" max="243" width="9.140625" style="1"/>
    <col min="244" max="244" width="5.5703125" style="1" customWidth="1"/>
    <col min="245" max="245" width="13.5703125" style="1" customWidth="1"/>
    <col min="246" max="246" width="8.85546875" style="1" customWidth="1"/>
    <col min="247" max="247" width="4.5703125" style="1" customWidth="1"/>
    <col min="248" max="272" width="3.42578125" style="1" customWidth="1"/>
    <col min="273" max="273" width="4.5703125" style="1" customWidth="1"/>
    <col min="274" max="298" width="3.42578125" style="1" customWidth="1"/>
    <col min="299" max="499" width="9.140625" style="1"/>
    <col min="500" max="500" width="5.5703125" style="1" customWidth="1"/>
    <col min="501" max="501" width="13.5703125" style="1" customWidth="1"/>
    <col min="502" max="502" width="8.85546875" style="1" customWidth="1"/>
    <col min="503" max="503" width="4.5703125" style="1" customWidth="1"/>
    <col min="504" max="528" width="3.42578125" style="1" customWidth="1"/>
    <col min="529" max="529" width="4.5703125" style="1" customWidth="1"/>
    <col min="530" max="554" width="3.42578125" style="1" customWidth="1"/>
    <col min="555" max="755" width="9.140625" style="1"/>
    <col min="756" max="756" width="5.5703125" style="1" customWidth="1"/>
    <col min="757" max="757" width="13.5703125" style="1" customWidth="1"/>
    <col min="758" max="758" width="8.85546875" style="1" customWidth="1"/>
    <col min="759" max="759" width="4.5703125" style="1" customWidth="1"/>
    <col min="760" max="784" width="3.42578125" style="1" customWidth="1"/>
    <col min="785" max="785" width="4.5703125" style="1" customWidth="1"/>
    <col min="786" max="810" width="3.42578125" style="1" customWidth="1"/>
    <col min="811" max="1011" width="9.140625" style="1"/>
    <col min="1012" max="1012" width="5.5703125" style="1" customWidth="1"/>
    <col min="1013" max="1013" width="13.5703125" style="1" customWidth="1"/>
    <col min="1014" max="1014" width="8.85546875" style="1" customWidth="1"/>
    <col min="1015" max="1015" width="4.5703125" style="1" customWidth="1"/>
    <col min="1016" max="1040" width="3.42578125" style="1" customWidth="1"/>
    <col min="1041" max="1041" width="4.5703125" style="1" customWidth="1"/>
    <col min="1042" max="1066" width="3.42578125" style="1" customWidth="1"/>
    <col min="1067" max="1267" width="9.140625" style="1"/>
    <col min="1268" max="1268" width="5.5703125" style="1" customWidth="1"/>
    <col min="1269" max="1269" width="13.5703125" style="1" customWidth="1"/>
    <col min="1270" max="1270" width="8.85546875" style="1" customWidth="1"/>
    <col min="1271" max="1271" width="4.5703125" style="1" customWidth="1"/>
    <col min="1272" max="1296" width="3.42578125" style="1" customWidth="1"/>
    <col min="1297" max="1297" width="4.5703125" style="1" customWidth="1"/>
    <col min="1298" max="1322" width="3.42578125" style="1" customWidth="1"/>
    <col min="1323" max="1523" width="9.140625" style="1"/>
    <col min="1524" max="1524" width="5.5703125" style="1" customWidth="1"/>
    <col min="1525" max="1525" width="13.5703125" style="1" customWidth="1"/>
    <col min="1526" max="1526" width="8.85546875" style="1" customWidth="1"/>
    <col min="1527" max="1527" width="4.5703125" style="1" customWidth="1"/>
    <col min="1528" max="1552" width="3.42578125" style="1" customWidth="1"/>
    <col min="1553" max="1553" width="4.5703125" style="1" customWidth="1"/>
    <col min="1554" max="1578" width="3.42578125" style="1" customWidth="1"/>
    <col min="1579" max="1779" width="9.140625" style="1"/>
    <col min="1780" max="1780" width="5.5703125" style="1" customWidth="1"/>
    <col min="1781" max="1781" width="13.5703125" style="1" customWidth="1"/>
    <col min="1782" max="1782" width="8.85546875" style="1" customWidth="1"/>
    <col min="1783" max="1783" width="4.5703125" style="1" customWidth="1"/>
    <col min="1784" max="1808" width="3.42578125" style="1" customWidth="1"/>
    <col min="1809" max="1809" width="4.5703125" style="1" customWidth="1"/>
    <col min="1810" max="1834" width="3.42578125" style="1" customWidth="1"/>
    <col min="1835" max="2035" width="9.140625" style="1"/>
    <col min="2036" max="2036" width="5.5703125" style="1" customWidth="1"/>
    <col min="2037" max="2037" width="13.5703125" style="1" customWidth="1"/>
    <col min="2038" max="2038" width="8.85546875" style="1" customWidth="1"/>
    <col min="2039" max="2039" width="4.5703125" style="1" customWidth="1"/>
    <col min="2040" max="2064" width="3.42578125" style="1" customWidth="1"/>
    <col min="2065" max="2065" width="4.5703125" style="1" customWidth="1"/>
    <col min="2066" max="2090" width="3.42578125" style="1" customWidth="1"/>
    <col min="2091" max="2291" width="9.140625" style="1"/>
    <col min="2292" max="2292" width="5.5703125" style="1" customWidth="1"/>
    <col min="2293" max="2293" width="13.5703125" style="1" customWidth="1"/>
    <col min="2294" max="2294" width="8.85546875" style="1" customWidth="1"/>
    <col min="2295" max="2295" width="4.5703125" style="1" customWidth="1"/>
    <col min="2296" max="2320" width="3.42578125" style="1" customWidth="1"/>
    <col min="2321" max="2321" width="4.5703125" style="1" customWidth="1"/>
    <col min="2322" max="2346" width="3.42578125" style="1" customWidth="1"/>
    <col min="2347" max="2547" width="9.140625" style="1"/>
    <col min="2548" max="2548" width="5.5703125" style="1" customWidth="1"/>
    <col min="2549" max="2549" width="13.5703125" style="1" customWidth="1"/>
    <col min="2550" max="2550" width="8.85546875" style="1" customWidth="1"/>
    <col min="2551" max="2551" width="4.5703125" style="1" customWidth="1"/>
    <col min="2552" max="2576" width="3.42578125" style="1" customWidth="1"/>
    <col min="2577" max="2577" width="4.5703125" style="1" customWidth="1"/>
    <col min="2578" max="2602" width="3.42578125" style="1" customWidth="1"/>
    <col min="2603" max="2803" width="9.140625" style="1"/>
    <col min="2804" max="2804" width="5.5703125" style="1" customWidth="1"/>
    <col min="2805" max="2805" width="13.5703125" style="1" customWidth="1"/>
    <col min="2806" max="2806" width="8.85546875" style="1" customWidth="1"/>
    <col min="2807" max="2807" width="4.5703125" style="1" customWidth="1"/>
    <col min="2808" max="2832" width="3.42578125" style="1" customWidth="1"/>
    <col min="2833" max="2833" width="4.5703125" style="1" customWidth="1"/>
    <col min="2834" max="2858" width="3.42578125" style="1" customWidth="1"/>
    <col min="2859" max="3059" width="9.140625" style="1"/>
    <col min="3060" max="3060" width="5.5703125" style="1" customWidth="1"/>
    <col min="3061" max="3061" width="13.5703125" style="1" customWidth="1"/>
    <col min="3062" max="3062" width="8.85546875" style="1" customWidth="1"/>
    <col min="3063" max="3063" width="4.5703125" style="1" customWidth="1"/>
    <col min="3064" max="3088" width="3.42578125" style="1" customWidth="1"/>
    <col min="3089" max="3089" width="4.5703125" style="1" customWidth="1"/>
    <col min="3090" max="3114" width="3.42578125" style="1" customWidth="1"/>
    <col min="3115" max="3315" width="9.140625" style="1"/>
    <col min="3316" max="3316" width="5.5703125" style="1" customWidth="1"/>
    <col min="3317" max="3317" width="13.5703125" style="1" customWidth="1"/>
    <col min="3318" max="3318" width="8.85546875" style="1" customWidth="1"/>
    <col min="3319" max="3319" width="4.5703125" style="1" customWidth="1"/>
    <col min="3320" max="3344" width="3.42578125" style="1" customWidth="1"/>
    <col min="3345" max="3345" width="4.5703125" style="1" customWidth="1"/>
    <col min="3346" max="3370" width="3.42578125" style="1" customWidth="1"/>
    <col min="3371" max="3571" width="9.140625" style="1"/>
    <col min="3572" max="3572" width="5.5703125" style="1" customWidth="1"/>
    <col min="3573" max="3573" width="13.5703125" style="1" customWidth="1"/>
    <col min="3574" max="3574" width="8.85546875" style="1" customWidth="1"/>
    <col min="3575" max="3575" width="4.5703125" style="1" customWidth="1"/>
    <col min="3576" max="3600" width="3.42578125" style="1" customWidth="1"/>
    <col min="3601" max="3601" width="4.5703125" style="1" customWidth="1"/>
    <col min="3602" max="3626" width="3.42578125" style="1" customWidth="1"/>
    <col min="3627" max="3827" width="9.140625" style="1"/>
    <col min="3828" max="3828" width="5.5703125" style="1" customWidth="1"/>
    <col min="3829" max="3829" width="13.5703125" style="1" customWidth="1"/>
    <col min="3830" max="3830" width="8.85546875" style="1" customWidth="1"/>
    <col min="3831" max="3831" width="4.5703125" style="1" customWidth="1"/>
    <col min="3832" max="3856" width="3.42578125" style="1" customWidth="1"/>
    <col min="3857" max="3857" width="4.5703125" style="1" customWidth="1"/>
    <col min="3858" max="3882" width="3.42578125" style="1" customWidth="1"/>
    <col min="3883" max="4083" width="9.140625" style="1"/>
    <col min="4084" max="4084" width="5.5703125" style="1" customWidth="1"/>
    <col min="4085" max="4085" width="13.5703125" style="1" customWidth="1"/>
    <col min="4086" max="4086" width="8.85546875" style="1" customWidth="1"/>
    <col min="4087" max="4087" width="4.5703125" style="1" customWidth="1"/>
    <col min="4088" max="4112" width="3.42578125" style="1" customWidth="1"/>
    <col min="4113" max="4113" width="4.5703125" style="1" customWidth="1"/>
    <col min="4114" max="4138" width="3.42578125" style="1" customWidth="1"/>
    <col min="4139" max="4339" width="9.140625" style="1"/>
    <col min="4340" max="4340" width="5.5703125" style="1" customWidth="1"/>
    <col min="4341" max="4341" width="13.5703125" style="1" customWidth="1"/>
    <col min="4342" max="4342" width="8.85546875" style="1" customWidth="1"/>
    <col min="4343" max="4343" width="4.5703125" style="1" customWidth="1"/>
    <col min="4344" max="4368" width="3.42578125" style="1" customWidth="1"/>
    <col min="4369" max="4369" width="4.5703125" style="1" customWidth="1"/>
    <col min="4370" max="4394" width="3.42578125" style="1" customWidth="1"/>
    <col min="4395" max="4595" width="9.140625" style="1"/>
    <col min="4596" max="4596" width="5.5703125" style="1" customWidth="1"/>
    <col min="4597" max="4597" width="13.5703125" style="1" customWidth="1"/>
    <col min="4598" max="4598" width="8.85546875" style="1" customWidth="1"/>
    <col min="4599" max="4599" width="4.5703125" style="1" customWidth="1"/>
    <col min="4600" max="4624" width="3.42578125" style="1" customWidth="1"/>
    <col min="4625" max="4625" width="4.5703125" style="1" customWidth="1"/>
    <col min="4626" max="4650" width="3.42578125" style="1" customWidth="1"/>
    <col min="4651" max="4851" width="9.140625" style="1"/>
    <col min="4852" max="4852" width="5.5703125" style="1" customWidth="1"/>
    <col min="4853" max="4853" width="13.5703125" style="1" customWidth="1"/>
    <col min="4854" max="4854" width="8.85546875" style="1" customWidth="1"/>
    <col min="4855" max="4855" width="4.5703125" style="1" customWidth="1"/>
    <col min="4856" max="4880" width="3.42578125" style="1" customWidth="1"/>
    <col min="4881" max="4881" width="4.5703125" style="1" customWidth="1"/>
    <col min="4882" max="4906" width="3.42578125" style="1" customWidth="1"/>
    <col min="4907" max="5107" width="9.140625" style="1"/>
    <col min="5108" max="5108" width="5.5703125" style="1" customWidth="1"/>
    <col min="5109" max="5109" width="13.5703125" style="1" customWidth="1"/>
    <col min="5110" max="5110" width="8.85546875" style="1" customWidth="1"/>
    <col min="5111" max="5111" width="4.5703125" style="1" customWidth="1"/>
    <col min="5112" max="5136" width="3.42578125" style="1" customWidth="1"/>
    <col min="5137" max="5137" width="4.5703125" style="1" customWidth="1"/>
    <col min="5138" max="5162" width="3.42578125" style="1" customWidth="1"/>
    <col min="5163" max="5363" width="9.140625" style="1"/>
    <col min="5364" max="5364" width="5.5703125" style="1" customWidth="1"/>
    <col min="5365" max="5365" width="13.5703125" style="1" customWidth="1"/>
    <col min="5366" max="5366" width="8.85546875" style="1" customWidth="1"/>
    <col min="5367" max="5367" width="4.5703125" style="1" customWidth="1"/>
    <col min="5368" max="5392" width="3.42578125" style="1" customWidth="1"/>
    <col min="5393" max="5393" width="4.5703125" style="1" customWidth="1"/>
    <col min="5394" max="5418" width="3.42578125" style="1" customWidth="1"/>
    <col min="5419" max="5619" width="9.140625" style="1"/>
    <col min="5620" max="5620" width="5.5703125" style="1" customWidth="1"/>
    <col min="5621" max="5621" width="13.5703125" style="1" customWidth="1"/>
    <col min="5622" max="5622" width="8.85546875" style="1" customWidth="1"/>
    <col min="5623" max="5623" width="4.5703125" style="1" customWidth="1"/>
    <col min="5624" max="5648" width="3.42578125" style="1" customWidth="1"/>
    <col min="5649" max="5649" width="4.5703125" style="1" customWidth="1"/>
    <col min="5650" max="5674" width="3.42578125" style="1" customWidth="1"/>
    <col min="5675" max="5875" width="9.140625" style="1"/>
    <col min="5876" max="5876" width="5.5703125" style="1" customWidth="1"/>
    <col min="5877" max="5877" width="13.5703125" style="1" customWidth="1"/>
    <col min="5878" max="5878" width="8.85546875" style="1" customWidth="1"/>
    <col min="5879" max="5879" width="4.5703125" style="1" customWidth="1"/>
    <col min="5880" max="5904" width="3.42578125" style="1" customWidth="1"/>
    <col min="5905" max="5905" width="4.5703125" style="1" customWidth="1"/>
    <col min="5906" max="5930" width="3.42578125" style="1" customWidth="1"/>
    <col min="5931" max="6131" width="9.140625" style="1"/>
    <col min="6132" max="6132" width="5.5703125" style="1" customWidth="1"/>
    <col min="6133" max="6133" width="13.5703125" style="1" customWidth="1"/>
    <col min="6134" max="6134" width="8.85546875" style="1" customWidth="1"/>
    <col min="6135" max="6135" width="4.5703125" style="1" customWidth="1"/>
    <col min="6136" max="6160" width="3.42578125" style="1" customWidth="1"/>
    <col min="6161" max="6161" width="4.5703125" style="1" customWidth="1"/>
    <col min="6162" max="6186" width="3.42578125" style="1" customWidth="1"/>
    <col min="6187" max="6387" width="9.140625" style="1"/>
    <col min="6388" max="6388" width="5.5703125" style="1" customWidth="1"/>
    <col min="6389" max="6389" width="13.5703125" style="1" customWidth="1"/>
    <col min="6390" max="6390" width="8.85546875" style="1" customWidth="1"/>
    <col min="6391" max="6391" width="4.5703125" style="1" customWidth="1"/>
    <col min="6392" max="6416" width="3.42578125" style="1" customWidth="1"/>
    <col min="6417" max="6417" width="4.5703125" style="1" customWidth="1"/>
    <col min="6418" max="6442" width="3.42578125" style="1" customWidth="1"/>
    <col min="6443" max="6643" width="9.140625" style="1"/>
    <col min="6644" max="6644" width="5.5703125" style="1" customWidth="1"/>
    <col min="6645" max="6645" width="13.5703125" style="1" customWidth="1"/>
    <col min="6646" max="6646" width="8.85546875" style="1" customWidth="1"/>
    <col min="6647" max="6647" width="4.5703125" style="1" customWidth="1"/>
    <col min="6648" max="6672" width="3.42578125" style="1" customWidth="1"/>
    <col min="6673" max="6673" width="4.5703125" style="1" customWidth="1"/>
    <col min="6674" max="6698" width="3.42578125" style="1" customWidth="1"/>
    <col min="6699" max="6899" width="9.140625" style="1"/>
    <col min="6900" max="6900" width="5.5703125" style="1" customWidth="1"/>
    <col min="6901" max="6901" width="13.5703125" style="1" customWidth="1"/>
    <col min="6902" max="6902" width="8.85546875" style="1" customWidth="1"/>
    <col min="6903" max="6903" width="4.5703125" style="1" customWidth="1"/>
    <col min="6904" max="6928" width="3.42578125" style="1" customWidth="1"/>
    <col min="6929" max="6929" width="4.5703125" style="1" customWidth="1"/>
    <col min="6930" max="6954" width="3.42578125" style="1" customWidth="1"/>
    <col min="6955" max="7155" width="9.140625" style="1"/>
    <col min="7156" max="7156" width="5.5703125" style="1" customWidth="1"/>
    <col min="7157" max="7157" width="13.5703125" style="1" customWidth="1"/>
    <col min="7158" max="7158" width="8.85546875" style="1" customWidth="1"/>
    <col min="7159" max="7159" width="4.5703125" style="1" customWidth="1"/>
    <col min="7160" max="7184" width="3.42578125" style="1" customWidth="1"/>
    <col min="7185" max="7185" width="4.5703125" style="1" customWidth="1"/>
    <col min="7186" max="7210" width="3.42578125" style="1" customWidth="1"/>
    <col min="7211" max="7411" width="9.140625" style="1"/>
    <col min="7412" max="7412" width="5.5703125" style="1" customWidth="1"/>
    <col min="7413" max="7413" width="13.5703125" style="1" customWidth="1"/>
    <col min="7414" max="7414" width="8.85546875" style="1" customWidth="1"/>
    <col min="7415" max="7415" width="4.5703125" style="1" customWidth="1"/>
    <col min="7416" max="7440" width="3.42578125" style="1" customWidth="1"/>
    <col min="7441" max="7441" width="4.5703125" style="1" customWidth="1"/>
    <col min="7442" max="7466" width="3.42578125" style="1" customWidth="1"/>
    <col min="7467" max="7667" width="9.140625" style="1"/>
    <col min="7668" max="7668" width="5.5703125" style="1" customWidth="1"/>
    <col min="7669" max="7669" width="13.5703125" style="1" customWidth="1"/>
    <col min="7670" max="7670" width="8.85546875" style="1" customWidth="1"/>
    <col min="7671" max="7671" width="4.5703125" style="1" customWidth="1"/>
    <col min="7672" max="7696" width="3.42578125" style="1" customWidth="1"/>
    <col min="7697" max="7697" width="4.5703125" style="1" customWidth="1"/>
    <col min="7698" max="7722" width="3.42578125" style="1" customWidth="1"/>
    <col min="7723" max="7923" width="9.140625" style="1"/>
    <col min="7924" max="7924" width="5.5703125" style="1" customWidth="1"/>
    <col min="7925" max="7925" width="13.5703125" style="1" customWidth="1"/>
    <col min="7926" max="7926" width="8.85546875" style="1" customWidth="1"/>
    <col min="7927" max="7927" width="4.5703125" style="1" customWidth="1"/>
    <col min="7928" max="7952" width="3.42578125" style="1" customWidth="1"/>
    <col min="7953" max="7953" width="4.5703125" style="1" customWidth="1"/>
    <col min="7954" max="7978" width="3.42578125" style="1" customWidth="1"/>
    <col min="7979" max="8179" width="9.140625" style="1"/>
    <col min="8180" max="8180" width="5.5703125" style="1" customWidth="1"/>
    <col min="8181" max="8181" width="13.5703125" style="1" customWidth="1"/>
    <col min="8182" max="8182" width="8.85546875" style="1" customWidth="1"/>
    <col min="8183" max="8183" width="4.5703125" style="1" customWidth="1"/>
    <col min="8184" max="8208" width="3.42578125" style="1" customWidth="1"/>
    <col min="8209" max="8209" width="4.5703125" style="1" customWidth="1"/>
    <col min="8210" max="8234" width="3.42578125" style="1" customWidth="1"/>
    <col min="8235" max="8435" width="9.140625" style="1"/>
    <col min="8436" max="8436" width="5.5703125" style="1" customWidth="1"/>
    <col min="8437" max="8437" width="13.5703125" style="1" customWidth="1"/>
    <col min="8438" max="8438" width="8.85546875" style="1" customWidth="1"/>
    <col min="8439" max="8439" width="4.5703125" style="1" customWidth="1"/>
    <col min="8440" max="8464" width="3.42578125" style="1" customWidth="1"/>
    <col min="8465" max="8465" width="4.5703125" style="1" customWidth="1"/>
    <col min="8466" max="8490" width="3.42578125" style="1" customWidth="1"/>
    <col min="8491" max="8691" width="9.140625" style="1"/>
    <col min="8692" max="8692" width="5.5703125" style="1" customWidth="1"/>
    <col min="8693" max="8693" width="13.5703125" style="1" customWidth="1"/>
    <col min="8694" max="8694" width="8.85546875" style="1" customWidth="1"/>
    <col min="8695" max="8695" width="4.5703125" style="1" customWidth="1"/>
    <col min="8696" max="8720" width="3.42578125" style="1" customWidth="1"/>
    <col min="8721" max="8721" width="4.5703125" style="1" customWidth="1"/>
    <col min="8722" max="8746" width="3.42578125" style="1" customWidth="1"/>
    <col min="8747" max="8947" width="9.140625" style="1"/>
    <col min="8948" max="8948" width="5.5703125" style="1" customWidth="1"/>
    <col min="8949" max="8949" width="13.5703125" style="1" customWidth="1"/>
    <col min="8950" max="8950" width="8.85546875" style="1" customWidth="1"/>
    <col min="8951" max="8951" width="4.5703125" style="1" customWidth="1"/>
    <col min="8952" max="8976" width="3.42578125" style="1" customWidth="1"/>
    <col min="8977" max="8977" width="4.5703125" style="1" customWidth="1"/>
    <col min="8978" max="9002" width="3.42578125" style="1" customWidth="1"/>
    <col min="9003" max="9203" width="9.140625" style="1"/>
    <col min="9204" max="9204" width="5.5703125" style="1" customWidth="1"/>
    <col min="9205" max="9205" width="13.5703125" style="1" customWidth="1"/>
    <col min="9206" max="9206" width="8.85546875" style="1" customWidth="1"/>
    <col min="9207" max="9207" width="4.5703125" style="1" customWidth="1"/>
    <col min="9208" max="9232" width="3.42578125" style="1" customWidth="1"/>
    <col min="9233" max="9233" width="4.5703125" style="1" customWidth="1"/>
    <col min="9234" max="9258" width="3.42578125" style="1" customWidth="1"/>
    <col min="9259" max="9459" width="9.140625" style="1"/>
    <col min="9460" max="9460" width="5.5703125" style="1" customWidth="1"/>
    <col min="9461" max="9461" width="13.5703125" style="1" customWidth="1"/>
    <col min="9462" max="9462" width="8.85546875" style="1" customWidth="1"/>
    <col min="9463" max="9463" width="4.5703125" style="1" customWidth="1"/>
    <col min="9464" max="9488" width="3.42578125" style="1" customWidth="1"/>
    <col min="9489" max="9489" width="4.5703125" style="1" customWidth="1"/>
    <col min="9490" max="9514" width="3.42578125" style="1" customWidth="1"/>
    <col min="9515" max="9715" width="9.140625" style="1"/>
    <col min="9716" max="9716" width="5.5703125" style="1" customWidth="1"/>
    <col min="9717" max="9717" width="13.5703125" style="1" customWidth="1"/>
    <col min="9718" max="9718" width="8.85546875" style="1" customWidth="1"/>
    <col min="9719" max="9719" width="4.5703125" style="1" customWidth="1"/>
    <col min="9720" max="9744" width="3.42578125" style="1" customWidth="1"/>
    <col min="9745" max="9745" width="4.5703125" style="1" customWidth="1"/>
    <col min="9746" max="9770" width="3.42578125" style="1" customWidth="1"/>
    <col min="9771" max="9971" width="9.140625" style="1"/>
    <col min="9972" max="9972" width="5.5703125" style="1" customWidth="1"/>
    <col min="9973" max="9973" width="13.5703125" style="1" customWidth="1"/>
    <col min="9974" max="9974" width="8.85546875" style="1" customWidth="1"/>
    <col min="9975" max="9975" width="4.5703125" style="1" customWidth="1"/>
    <col min="9976" max="10000" width="3.42578125" style="1" customWidth="1"/>
    <col min="10001" max="10001" width="4.5703125" style="1" customWidth="1"/>
    <col min="10002" max="10026" width="3.42578125" style="1" customWidth="1"/>
    <col min="10027" max="10227" width="9.140625" style="1"/>
    <col min="10228" max="10228" width="5.5703125" style="1" customWidth="1"/>
    <col min="10229" max="10229" width="13.5703125" style="1" customWidth="1"/>
    <col min="10230" max="10230" width="8.85546875" style="1" customWidth="1"/>
    <col min="10231" max="10231" width="4.5703125" style="1" customWidth="1"/>
    <col min="10232" max="10256" width="3.42578125" style="1" customWidth="1"/>
    <col min="10257" max="10257" width="4.5703125" style="1" customWidth="1"/>
    <col min="10258" max="10282" width="3.42578125" style="1" customWidth="1"/>
    <col min="10283" max="10483" width="9.140625" style="1"/>
    <col min="10484" max="10484" width="5.5703125" style="1" customWidth="1"/>
    <col min="10485" max="10485" width="13.5703125" style="1" customWidth="1"/>
    <col min="10486" max="10486" width="8.85546875" style="1" customWidth="1"/>
    <col min="10487" max="10487" width="4.5703125" style="1" customWidth="1"/>
    <col min="10488" max="10512" width="3.42578125" style="1" customWidth="1"/>
    <col min="10513" max="10513" width="4.5703125" style="1" customWidth="1"/>
    <col min="10514" max="10538" width="3.42578125" style="1" customWidth="1"/>
    <col min="10539" max="10739" width="9.140625" style="1"/>
    <col min="10740" max="10740" width="5.5703125" style="1" customWidth="1"/>
    <col min="10741" max="10741" width="13.5703125" style="1" customWidth="1"/>
    <col min="10742" max="10742" width="8.85546875" style="1" customWidth="1"/>
    <col min="10743" max="10743" width="4.5703125" style="1" customWidth="1"/>
    <col min="10744" max="10768" width="3.42578125" style="1" customWidth="1"/>
    <col min="10769" max="10769" width="4.5703125" style="1" customWidth="1"/>
    <col min="10770" max="10794" width="3.42578125" style="1" customWidth="1"/>
    <col min="10795" max="10995" width="9.140625" style="1"/>
    <col min="10996" max="10996" width="5.5703125" style="1" customWidth="1"/>
    <col min="10997" max="10997" width="13.5703125" style="1" customWidth="1"/>
    <col min="10998" max="10998" width="8.85546875" style="1" customWidth="1"/>
    <col min="10999" max="10999" width="4.5703125" style="1" customWidth="1"/>
    <col min="11000" max="11024" width="3.42578125" style="1" customWidth="1"/>
    <col min="11025" max="11025" width="4.5703125" style="1" customWidth="1"/>
    <col min="11026" max="11050" width="3.42578125" style="1" customWidth="1"/>
    <col min="11051" max="11251" width="9.140625" style="1"/>
    <col min="11252" max="11252" width="5.5703125" style="1" customWidth="1"/>
    <col min="11253" max="11253" width="13.5703125" style="1" customWidth="1"/>
    <col min="11254" max="11254" width="8.85546875" style="1" customWidth="1"/>
    <col min="11255" max="11255" width="4.5703125" style="1" customWidth="1"/>
    <col min="11256" max="11280" width="3.42578125" style="1" customWidth="1"/>
    <col min="11281" max="11281" width="4.5703125" style="1" customWidth="1"/>
    <col min="11282" max="11306" width="3.42578125" style="1" customWidth="1"/>
    <col min="11307" max="11507" width="9.140625" style="1"/>
    <col min="11508" max="11508" width="5.5703125" style="1" customWidth="1"/>
    <col min="11509" max="11509" width="13.5703125" style="1" customWidth="1"/>
    <col min="11510" max="11510" width="8.85546875" style="1" customWidth="1"/>
    <col min="11511" max="11511" width="4.5703125" style="1" customWidth="1"/>
    <col min="11512" max="11536" width="3.42578125" style="1" customWidth="1"/>
    <col min="11537" max="11537" width="4.5703125" style="1" customWidth="1"/>
    <col min="11538" max="11562" width="3.42578125" style="1" customWidth="1"/>
    <col min="11563" max="11763" width="9.140625" style="1"/>
    <col min="11764" max="11764" width="5.5703125" style="1" customWidth="1"/>
    <col min="11765" max="11765" width="13.5703125" style="1" customWidth="1"/>
    <col min="11766" max="11766" width="8.85546875" style="1" customWidth="1"/>
    <col min="11767" max="11767" width="4.5703125" style="1" customWidth="1"/>
    <col min="11768" max="11792" width="3.42578125" style="1" customWidth="1"/>
    <col min="11793" max="11793" width="4.5703125" style="1" customWidth="1"/>
    <col min="11794" max="11818" width="3.42578125" style="1" customWidth="1"/>
    <col min="11819" max="12019" width="9.140625" style="1"/>
    <col min="12020" max="12020" width="5.5703125" style="1" customWidth="1"/>
    <col min="12021" max="12021" width="13.5703125" style="1" customWidth="1"/>
    <col min="12022" max="12022" width="8.85546875" style="1" customWidth="1"/>
    <col min="12023" max="12023" width="4.5703125" style="1" customWidth="1"/>
    <col min="12024" max="12048" width="3.42578125" style="1" customWidth="1"/>
    <col min="12049" max="12049" width="4.5703125" style="1" customWidth="1"/>
    <col min="12050" max="12074" width="3.42578125" style="1" customWidth="1"/>
    <col min="12075" max="12275" width="9.140625" style="1"/>
    <col min="12276" max="12276" width="5.5703125" style="1" customWidth="1"/>
    <col min="12277" max="12277" width="13.5703125" style="1" customWidth="1"/>
    <col min="12278" max="12278" width="8.85546875" style="1" customWidth="1"/>
    <col min="12279" max="12279" width="4.5703125" style="1" customWidth="1"/>
    <col min="12280" max="12304" width="3.42578125" style="1" customWidth="1"/>
    <col min="12305" max="12305" width="4.5703125" style="1" customWidth="1"/>
    <col min="12306" max="12330" width="3.42578125" style="1" customWidth="1"/>
    <col min="12331" max="12531" width="9.140625" style="1"/>
    <col min="12532" max="12532" width="5.5703125" style="1" customWidth="1"/>
    <col min="12533" max="12533" width="13.5703125" style="1" customWidth="1"/>
    <col min="12534" max="12534" width="8.85546875" style="1" customWidth="1"/>
    <col min="12535" max="12535" width="4.5703125" style="1" customWidth="1"/>
    <col min="12536" max="12560" width="3.42578125" style="1" customWidth="1"/>
    <col min="12561" max="12561" width="4.5703125" style="1" customWidth="1"/>
    <col min="12562" max="12586" width="3.42578125" style="1" customWidth="1"/>
    <col min="12587" max="12787" width="9.140625" style="1"/>
    <col min="12788" max="12788" width="5.5703125" style="1" customWidth="1"/>
    <col min="12789" max="12789" width="13.5703125" style="1" customWidth="1"/>
    <col min="12790" max="12790" width="8.85546875" style="1" customWidth="1"/>
    <col min="12791" max="12791" width="4.5703125" style="1" customWidth="1"/>
    <col min="12792" max="12816" width="3.42578125" style="1" customWidth="1"/>
    <col min="12817" max="12817" width="4.5703125" style="1" customWidth="1"/>
    <col min="12818" max="12842" width="3.42578125" style="1" customWidth="1"/>
    <col min="12843" max="13043" width="9.140625" style="1"/>
    <col min="13044" max="13044" width="5.5703125" style="1" customWidth="1"/>
    <col min="13045" max="13045" width="13.5703125" style="1" customWidth="1"/>
    <col min="13046" max="13046" width="8.85546875" style="1" customWidth="1"/>
    <col min="13047" max="13047" width="4.5703125" style="1" customWidth="1"/>
    <col min="13048" max="13072" width="3.42578125" style="1" customWidth="1"/>
    <col min="13073" max="13073" width="4.5703125" style="1" customWidth="1"/>
    <col min="13074" max="13098" width="3.42578125" style="1" customWidth="1"/>
    <col min="13099" max="13299" width="9.140625" style="1"/>
    <col min="13300" max="13300" width="5.5703125" style="1" customWidth="1"/>
    <col min="13301" max="13301" width="13.5703125" style="1" customWidth="1"/>
    <col min="13302" max="13302" width="8.85546875" style="1" customWidth="1"/>
    <col min="13303" max="13303" width="4.5703125" style="1" customWidth="1"/>
    <col min="13304" max="13328" width="3.42578125" style="1" customWidth="1"/>
    <col min="13329" max="13329" width="4.5703125" style="1" customWidth="1"/>
    <col min="13330" max="13354" width="3.42578125" style="1" customWidth="1"/>
    <col min="13355" max="13555" width="9.140625" style="1"/>
    <col min="13556" max="13556" width="5.5703125" style="1" customWidth="1"/>
    <col min="13557" max="13557" width="13.5703125" style="1" customWidth="1"/>
    <col min="13558" max="13558" width="8.85546875" style="1" customWidth="1"/>
    <col min="13559" max="13559" width="4.5703125" style="1" customWidth="1"/>
    <col min="13560" max="13584" width="3.42578125" style="1" customWidth="1"/>
    <col min="13585" max="13585" width="4.5703125" style="1" customWidth="1"/>
    <col min="13586" max="13610" width="3.42578125" style="1" customWidth="1"/>
    <col min="13611" max="13811" width="9.140625" style="1"/>
    <col min="13812" max="13812" width="5.5703125" style="1" customWidth="1"/>
    <col min="13813" max="13813" width="13.5703125" style="1" customWidth="1"/>
    <col min="13814" max="13814" width="8.85546875" style="1" customWidth="1"/>
    <col min="13815" max="13815" width="4.5703125" style="1" customWidth="1"/>
    <col min="13816" max="13840" width="3.42578125" style="1" customWidth="1"/>
    <col min="13841" max="13841" width="4.5703125" style="1" customWidth="1"/>
    <col min="13842" max="13866" width="3.42578125" style="1" customWidth="1"/>
    <col min="13867" max="14067" width="9.140625" style="1"/>
    <col min="14068" max="14068" width="5.5703125" style="1" customWidth="1"/>
    <col min="14069" max="14069" width="13.5703125" style="1" customWidth="1"/>
    <col min="14070" max="14070" width="8.85546875" style="1" customWidth="1"/>
    <col min="14071" max="14071" width="4.5703125" style="1" customWidth="1"/>
    <col min="14072" max="14096" width="3.42578125" style="1" customWidth="1"/>
    <col min="14097" max="14097" width="4.5703125" style="1" customWidth="1"/>
    <col min="14098" max="14122" width="3.42578125" style="1" customWidth="1"/>
    <col min="14123" max="14323" width="9.140625" style="1"/>
    <col min="14324" max="14324" width="5.5703125" style="1" customWidth="1"/>
    <col min="14325" max="14325" width="13.5703125" style="1" customWidth="1"/>
    <col min="14326" max="14326" width="8.85546875" style="1" customWidth="1"/>
    <col min="14327" max="14327" width="4.5703125" style="1" customWidth="1"/>
    <col min="14328" max="14352" width="3.42578125" style="1" customWidth="1"/>
    <col min="14353" max="14353" width="4.5703125" style="1" customWidth="1"/>
    <col min="14354" max="14378" width="3.42578125" style="1" customWidth="1"/>
    <col min="14379" max="14579" width="9.140625" style="1"/>
    <col min="14580" max="14580" width="5.5703125" style="1" customWidth="1"/>
    <col min="14581" max="14581" width="13.5703125" style="1" customWidth="1"/>
    <col min="14582" max="14582" width="8.85546875" style="1" customWidth="1"/>
    <col min="14583" max="14583" width="4.5703125" style="1" customWidth="1"/>
    <col min="14584" max="14608" width="3.42578125" style="1" customWidth="1"/>
    <col min="14609" max="14609" width="4.5703125" style="1" customWidth="1"/>
    <col min="14610" max="14634" width="3.42578125" style="1" customWidth="1"/>
    <col min="14635" max="14835" width="9.140625" style="1"/>
    <col min="14836" max="14836" width="5.5703125" style="1" customWidth="1"/>
    <col min="14837" max="14837" width="13.5703125" style="1" customWidth="1"/>
    <col min="14838" max="14838" width="8.85546875" style="1" customWidth="1"/>
    <col min="14839" max="14839" width="4.5703125" style="1" customWidth="1"/>
    <col min="14840" max="14864" width="3.42578125" style="1" customWidth="1"/>
    <col min="14865" max="14865" width="4.5703125" style="1" customWidth="1"/>
    <col min="14866" max="14890" width="3.42578125" style="1" customWidth="1"/>
    <col min="14891" max="15091" width="9.140625" style="1"/>
    <col min="15092" max="15092" width="5.5703125" style="1" customWidth="1"/>
    <col min="15093" max="15093" width="13.5703125" style="1" customWidth="1"/>
    <col min="15094" max="15094" width="8.85546875" style="1" customWidth="1"/>
    <col min="15095" max="15095" width="4.5703125" style="1" customWidth="1"/>
    <col min="15096" max="15120" width="3.42578125" style="1" customWidth="1"/>
    <col min="15121" max="15121" width="4.5703125" style="1" customWidth="1"/>
    <col min="15122" max="15146" width="3.42578125" style="1" customWidth="1"/>
    <col min="15147" max="15347" width="9.140625" style="1"/>
    <col min="15348" max="15348" width="5.5703125" style="1" customWidth="1"/>
    <col min="15349" max="15349" width="13.5703125" style="1" customWidth="1"/>
    <col min="15350" max="15350" width="8.85546875" style="1" customWidth="1"/>
    <col min="15351" max="15351" width="4.5703125" style="1" customWidth="1"/>
    <col min="15352" max="15376" width="3.42578125" style="1" customWidth="1"/>
    <col min="15377" max="15377" width="4.5703125" style="1" customWidth="1"/>
    <col min="15378" max="15402" width="3.42578125" style="1" customWidth="1"/>
    <col min="15403" max="15603" width="9.140625" style="1"/>
    <col min="15604" max="15604" width="5.5703125" style="1" customWidth="1"/>
    <col min="15605" max="15605" width="13.5703125" style="1" customWidth="1"/>
    <col min="15606" max="15606" width="8.85546875" style="1" customWidth="1"/>
    <col min="15607" max="15607" width="4.5703125" style="1" customWidth="1"/>
    <col min="15608" max="15632" width="3.42578125" style="1" customWidth="1"/>
    <col min="15633" max="15633" width="4.5703125" style="1" customWidth="1"/>
    <col min="15634" max="15658" width="3.42578125" style="1" customWidth="1"/>
    <col min="15659" max="15859" width="9.140625" style="1"/>
    <col min="15860" max="15860" width="5.5703125" style="1" customWidth="1"/>
    <col min="15861" max="15861" width="13.5703125" style="1" customWidth="1"/>
    <col min="15862" max="15862" width="8.85546875" style="1" customWidth="1"/>
    <col min="15863" max="15863" width="4.5703125" style="1" customWidth="1"/>
    <col min="15864" max="15888" width="3.42578125" style="1" customWidth="1"/>
    <col min="15889" max="15889" width="4.5703125" style="1" customWidth="1"/>
    <col min="15890" max="15914" width="3.42578125" style="1" customWidth="1"/>
    <col min="15915" max="16115" width="9.140625" style="1"/>
    <col min="16116" max="16116" width="5.5703125" style="1" customWidth="1"/>
    <col min="16117" max="16117" width="13.5703125" style="1" customWidth="1"/>
    <col min="16118" max="16118" width="8.85546875" style="1" customWidth="1"/>
    <col min="16119" max="16119" width="4.5703125" style="1" customWidth="1"/>
    <col min="16120" max="16144" width="3.42578125" style="1" customWidth="1"/>
    <col min="16145" max="16145" width="4.5703125" style="1" customWidth="1"/>
    <col min="16146" max="16170" width="3.42578125" style="1" customWidth="1"/>
    <col min="16171" max="16384" width="9.140625" style="1"/>
  </cols>
  <sheetData>
    <row r="1" spans="1:55" x14ac:dyDescent="0.25">
      <c r="BC1" s="3" t="s">
        <v>0</v>
      </c>
    </row>
    <row r="2" spans="1:55" x14ac:dyDescent="0.25">
      <c r="AT2" s="27" t="s">
        <v>436</v>
      </c>
      <c r="AU2" s="27"/>
      <c r="AV2" s="27"/>
      <c r="AW2" s="27"/>
      <c r="AX2" s="27"/>
      <c r="AY2" s="27"/>
      <c r="AZ2" s="27"/>
      <c r="BA2" s="27"/>
      <c r="BB2" s="27"/>
      <c r="BC2" s="27"/>
    </row>
    <row r="3" spans="1:55" x14ac:dyDescent="0.25">
      <c r="AT3" s="22"/>
      <c r="AU3" s="22"/>
      <c r="AV3" s="27" t="s">
        <v>437</v>
      </c>
      <c r="AW3" s="27"/>
      <c r="AX3" s="27"/>
      <c r="AY3" s="27"/>
      <c r="AZ3" s="27"/>
      <c r="BA3" s="27"/>
      <c r="BB3" s="27"/>
      <c r="BC3" s="27"/>
    </row>
    <row r="4" spans="1:55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28"/>
      <c r="AT4" s="28"/>
      <c r="AU4" s="28"/>
      <c r="AV4" s="28"/>
      <c r="AW4" s="28"/>
      <c r="AX4" s="28"/>
      <c r="AY4" s="28"/>
      <c r="AZ4" s="28"/>
      <c r="BA4" s="28"/>
      <c r="BB4" s="28"/>
      <c r="BC4" s="28"/>
    </row>
    <row r="5" spans="1:55" x14ac:dyDescent="0.25">
      <c r="U5" s="3" t="s">
        <v>2</v>
      </c>
      <c r="V5" s="23">
        <v>12</v>
      </c>
      <c r="W5" s="24"/>
      <c r="X5" s="28" t="s">
        <v>334</v>
      </c>
      <c r="Y5" s="28"/>
      <c r="Z5" s="23">
        <v>2025</v>
      </c>
      <c r="AA5" s="24"/>
      <c r="AB5" s="1" t="s">
        <v>3</v>
      </c>
    </row>
    <row r="7" spans="1:55" x14ac:dyDescent="0.25">
      <c r="V7" s="4" t="s">
        <v>4</v>
      </c>
      <c r="W7" s="5" t="s">
        <v>5</v>
      </c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6"/>
      <c r="AM7" s="6"/>
      <c r="AN7" s="6"/>
      <c r="AO7" s="6"/>
    </row>
    <row r="8" spans="1:55" x14ac:dyDescent="0.25">
      <c r="W8" s="26" t="s">
        <v>6</v>
      </c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7"/>
      <c r="AM8" s="7"/>
      <c r="AN8" s="7"/>
      <c r="AO8" s="7"/>
    </row>
    <row r="10" spans="1:55" x14ac:dyDescent="0.25">
      <c r="Y10" s="3" t="s">
        <v>7</v>
      </c>
      <c r="Z10" s="23">
        <v>2025</v>
      </c>
      <c r="AA10" s="24"/>
      <c r="AB10" s="1" t="s">
        <v>8</v>
      </c>
    </row>
    <row r="12" spans="1:55" x14ac:dyDescent="0.25">
      <c r="X12" s="3" t="s">
        <v>9</v>
      </c>
      <c r="Y12" s="25" t="s">
        <v>195</v>
      </c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8"/>
      <c r="AO12" s="8"/>
      <c r="AP12" s="8"/>
    </row>
    <row r="13" spans="1:55" x14ac:dyDescent="0.25">
      <c r="Y13" s="9" t="s">
        <v>10</v>
      </c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7"/>
      <c r="AO13" s="7"/>
      <c r="AP13" s="7"/>
    </row>
    <row r="14" spans="1:55" x14ac:dyDescent="0.25">
      <c r="E14" s="7"/>
      <c r="F14" s="7"/>
      <c r="G14" s="7"/>
      <c r="H14" s="7"/>
      <c r="I14" s="7"/>
    </row>
    <row r="15" spans="1:55" x14ac:dyDescent="0.25">
      <c r="A15" s="29" t="s">
        <v>11</v>
      </c>
      <c r="B15" s="29" t="s">
        <v>12</v>
      </c>
      <c r="C15" s="29" t="s">
        <v>13</v>
      </c>
      <c r="D15" s="29" t="s">
        <v>224</v>
      </c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30" t="s">
        <v>223</v>
      </c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</row>
    <row r="16" spans="1:55" x14ac:dyDescent="0.25">
      <c r="A16" s="29"/>
      <c r="B16" s="29"/>
      <c r="C16" s="29"/>
      <c r="D16" s="31" t="s">
        <v>14</v>
      </c>
      <c r="E16" s="29" t="s">
        <v>15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31" t="s">
        <v>14</v>
      </c>
      <c r="AE16" s="29" t="s">
        <v>15</v>
      </c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</row>
    <row r="17" spans="1:55" x14ac:dyDescent="0.25">
      <c r="A17" s="29"/>
      <c r="B17" s="29"/>
      <c r="C17" s="29"/>
      <c r="D17" s="29" t="s">
        <v>16</v>
      </c>
      <c r="E17" s="29" t="s">
        <v>16</v>
      </c>
      <c r="F17" s="29"/>
      <c r="G17" s="29"/>
      <c r="H17" s="29"/>
      <c r="I17" s="29"/>
      <c r="J17" s="29" t="s">
        <v>17</v>
      </c>
      <c r="K17" s="29"/>
      <c r="L17" s="29"/>
      <c r="M17" s="29"/>
      <c r="N17" s="29"/>
      <c r="O17" s="29" t="s">
        <v>18</v>
      </c>
      <c r="P17" s="29"/>
      <c r="Q17" s="29"/>
      <c r="R17" s="29"/>
      <c r="S17" s="29"/>
      <c r="T17" s="29" t="s">
        <v>19</v>
      </c>
      <c r="U17" s="29"/>
      <c r="V17" s="29"/>
      <c r="W17" s="29"/>
      <c r="X17" s="29"/>
      <c r="Y17" s="29" t="s">
        <v>20</v>
      </c>
      <c r="Z17" s="29"/>
      <c r="AA17" s="29"/>
      <c r="AB17" s="29"/>
      <c r="AC17" s="29"/>
      <c r="AD17" s="29" t="s">
        <v>16</v>
      </c>
      <c r="AE17" s="29" t="s">
        <v>16</v>
      </c>
      <c r="AF17" s="29"/>
      <c r="AG17" s="29"/>
      <c r="AH17" s="29"/>
      <c r="AI17" s="29"/>
      <c r="AJ17" s="29" t="s">
        <v>17</v>
      </c>
      <c r="AK17" s="29"/>
      <c r="AL17" s="29"/>
      <c r="AM17" s="29"/>
      <c r="AN17" s="29"/>
      <c r="AO17" s="29" t="s">
        <v>18</v>
      </c>
      <c r="AP17" s="29"/>
      <c r="AQ17" s="29"/>
      <c r="AR17" s="29"/>
      <c r="AS17" s="29"/>
      <c r="AT17" s="29" t="s">
        <v>19</v>
      </c>
      <c r="AU17" s="29"/>
      <c r="AV17" s="29"/>
      <c r="AW17" s="29"/>
      <c r="AX17" s="29"/>
      <c r="AY17" s="29" t="s">
        <v>20</v>
      </c>
      <c r="AZ17" s="29"/>
      <c r="BA17" s="29"/>
      <c r="BB17" s="29"/>
      <c r="BC17" s="29"/>
    </row>
    <row r="18" spans="1:55" ht="111.75" customHeight="1" x14ac:dyDescent="0.25">
      <c r="A18" s="29"/>
      <c r="B18" s="29"/>
      <c r="C18" s="29"/>
      <c r="D18" s="29"/>
      <c r="E18" s="32" t="s">
        <v>21</v>
      </c>
      <c r="F18" s="32" t="s">
        <v>22</v>
      </c>
      <c r="G18" s="32" t="s">
        <v>23</v>
      </c>
      <c r="H18" s="32" t="s">
        <v>24</v>
      </c>
      <c r="I18" s="32" t="s">
        <v>25</v>
      </c>
      <c r="J18" s="32" t="s">
        <v>21</v>
      </c>
      <c r="K18" s="32" t="s">
        <v>22</v>
      </c>
      <c r="L18" s="32" t="s">
        <v>23</v>
      </c>
      <c r="M18" s="32" t="s">
        <v>24</v>
      </c>
      <c r="N18" s="32" t="s">
        <v>25</v>
      </c>
      <c r="O18" s="32" t="s">
        <v>21</v>
      </c>
      <c r="P18" s="32" t="s">
        <v>22</v>
      </c>
      <c r="Q18" s="32" t="s">
        <v>23</v>
      </c>
      <c r="R18" s="32" t="s">
        <v>24</v>
      </c>
      <c r="S18" s="32" t="s">
        <v>25</v>
      </c>
      <c r="T18" s="32" t="s">
        <v>21</v>
      </c>
      <c r="U18" s="32" t="s">
        <v>22</v>
      </c>
      <c r="V18" s="32" t="s">
        <v>23</v>
      </c>
      <c r="W18" s="32" t="s">
        <v>24</v>
      </c>
      <c r="X18" s="32" t="s">
        <v>25</v>
      </c>
      <c r="Y18" s="32" t="s">
        <v>21</v>
      </c>
      <c r="Z18" s="32" t="s">
        <v>22</v>
      </c>
      <c r="AA18" s="32" t="s">
        <v>23</v>
      </c>
      <c r="AB18" s="32" t="s">
        <v>24</v>
      </c>
      <c r="AC18" s="32" t="s">
        <v>25</v>
      </c>
      <c r="AD18" s="29"/>
      <c r="AE18" s="32" t="s">
        <v>21</v>
      </c>
      <c r="AF18" s="32" t="s">
        <v>22</v>
      </c>
      <c r="AG18" s="32" t="s">
        <v>23</v>
      </c>
      <c r="AH18" s="32" t="s">
        <v>24</v>
      </c>
      <c r="AI18" s="32" t="s">
        <v>25</v>
      </c>
      <c r="AJ18" s="32" t="s">
        <v>21</v>
      </c>
      <c r="AK18" s="32" t="s">
        <v>22</v>
      </c>
      <c r="AL18" s="32" t="s">
        <v>23</v>
      </c>
      <c r="AM18" s="32" t="s">
        <v>24</v>
      </c>
      <c r="AN18" s="32" t="s">
        <v>25</v>
      </c>
      <c r="AO18" s="32" t="s">
        <v>21</v>
      </c>
      <c r="AP18" s="32" t="s">
        <v>22</v>
      </c>
      <c r="AQ18" s="32" t="s">
        <v>23</v>
      </c>
      <c r="AR18" s="32" t="s">
        <v>24</v>
      </c>
      <c r="AS18" s="32" t="s">
        <v>25</v>
      </c>
      <c r="AT18" s="32" t="s">
        <v>21</v>
      </c>
      <c r="AU18" s="32" t="s">
        <v>22</v>
      </c>
      <c r="AV18" s="32" t="s">
        <v>23</v>
      </c>
      <c r="AW18" s="32" t="s">
        <v>24</v>
      </c>
      <c r="AX18" s="32" t="s">
        <v>25</v>
      </c>
      <c r="AY18" s="32" t="s">
        <v>21</v>
      </c>
      <c r="AZ18" s="32" t="s">
        <v>22</v>
      </c>
      <c r="BA18" s="32" t="s">
        <v>23</v>
      </c>
      <c r="BB18" s="32" t="s">
        <v>24</v>
      </c>
      <c r="BC18" s="32" t="s">
        <v>25</v>
      </c>
    </row>
    <row r="19" spans="1:55" x14ac:dyDescent="0.25">
      <c r="A19" s="33">
        <v>1</v>
      </c>
      <c r="B19" s="34">
        <v>2</v>
      </c>
      <c r="C19" s="33">
        <v>3</v>
      </c>
      <c r="D19" s="33">
        <v>4</v>
      </c>
      <c r="E19" s="33" t="s">
        <v>26</v>
      </c>
      <c r="F19" s="33" t="s">
        <v>27</v>
      </c>
      <c r="G19" s="33" t="s">
        <v>28</v>
      </c>
      <c r="H19" s="33" t="s">
        <v>29</v>
      </c>
      <c r="I19" s="33" t="s">
        <v>30</v>
      </c>
      <c r="J19" s="33" t="s">
        <v>31</v>
      </c>
      <c r="K19" s="33" t="s">
        <v>32</v>
      </c>
      <c r="L19" s="33" t="s">
        <v>33</v>
      </c>
      <c r="M19" s="33" t="s">
        <v>34</v>
      </c>
      <c r="N19" s="33" t="s">
        <v>35</v>
      </c>
      <c r="O19" s="33" t="s">
        <v>36</v>
      </c>
      <c r="P19" s="33" t="s">
        <v>37</v>
      </c>
      <c r="Q19" s="33" t="s">
        <v>38</v>
      </c>
      <c r="R19" s="33" t="s">
        <v>39</v>
      </c>
      <c r="S19" s="33" t="s">
        <v>40</v>
      </c>
      <c r="T19" s="33" t="s">
        <v>41</v>
      </c>
      <c r="U19" s="33" t="s">
        <v>42</v>
      </c>
      <c r="V19" s="33" t="s">
        <v>43</v>
      </c>
      <c r="W19" s="33" t="s">
        <v>44</v>
      </c>
      <c r="X19" s="33" t="s">
        <v>45</v>
      </c>
      <c r="Y19" s="33" t="s">
        <v>46</v>
      </c>
      <c r="Z19" s="33" t="s">
        <v>47</v>
      </c>
      <c r="AA19" s="33" t="s">
        <v>48</v>
      </c>
      <c r="AB19" s="33" t="s">
        <v>49</v>
      </c>
      <c r="AC19" s="33" t="s">
        <v>50</v>
      </c>
      <c r="AD19" s="33">
        <v>6</v>
      </c>
      <c r="AE19" s="33" t="s">
        <v>51</v>
      </c>
      <c r="AF19" s="33" t="s">
        <v>52</v>
      </c>
      <c r="AG19" s="33" t="s">
        <v>53</v>
      </c>
      <c r="AH19" s="33" t="s">
        <v>54</v>
      </c>
      <c r="AI19" s="33" t="s">
        <v>55</v>
      </c>
      <c r="AJ19" s="33" t="s">
        <v>56</v>
      </c>
      <c r="AK19" s="33" t="s">
        <v>57</v>
      </c>
      <c r="AL19" s="33" t="s">
        <v>58</v>
      </c>
      <c r="AM19" s="33" t="s">
        <v>59</v>
      </c>
      <c r="AN19" s="33" t="s">
        <v>60</v>
      </c>
      <c r="AO19" s="33" t="s">
        <v>61</v>
      </c>
      <c r="AP19" s="33" t="s">
        <v>62</v>
      </c>
      <c r="AQ19" s="33" t="s">
        <v>63</v>
      </c>
      <c r="AR19" s="33" t="s">
        <v>64</v>
      </c>
      <c r="AS19" s="33" t="s">
        <v>65</v>
      </c>
      <c r="AT19" s="33" t="s">
        <v>66</v>
      </c>
      <c r="AU19" s="33" t="s">
        <v>67</v>
      </c>
      <c r="AV19" s="33" t="s">
        <v>68</v>
      </c>
      <c r="AW19" s="33" t="s">
        <v>69</v>
      </c>
      <c r="AX19" s="33" t="s">
        <v>70</v>
      </c>
      <c r="AY19" s="33" t="s">
        <v>71</v>
      </c>
      <c r="AZ19" s="33" t="s">
        <v>72</v>
      </c>
      <c r="BA19" s="33" t="s">
        <v>73</v>
      </c>
      <c r="BB19" s="33" t="s">
        <v>74</v>
      </c>
      <c r="BC19" s="33" t="s">
        <v>75</v>
      </c>
    </row>
    <row r="20" spans="1:55" x14ac:dyDescent="0.25">
      <c r="A20" s="11">
        <v>0</v>
      </c>
      <c r="B20" s="64" t="s">
        <v>21</v>
      </c>
      <c r="C20" s="65">
        <v>0</v>
      </c>
      <c r="D20" s="16">
        <f>D22+D36+D105+D136</f>
        <v>897.39268000000004</v>
      </c>
      <c r="E20" s="16">
        <f>E22+E36+E105+E136</f>
        <v>547.67508696400012</v>
      </c>
      <c r="F20" s="16">
        <f>F22+F36+F105+F136</f>
        <v>27.088164448000001</v>
      </c>
      <c r="G20" s="16">
        <f>G22+G36+G105+G136</f>
        <v>424.85514331600001</v>
      </c>
      <c r="H20" s="16">
        <f>H22+H36+H105+H136</f>
        <v>53.257734928000005</v>
      </c>
      <c r="I20" s="16">
        <f>I22+I36+I105+I136</f>
        <v>42.476474935999995</v>
      </c>
      <c r="J20" s="16">
        <f>J22+J36+J105+J136</f>
        <v>78.916243455999989</v>
      </c>
      <c r="K20" s="16">
        <f>K22+K36+K105+K136</f>
        <v>3.7039999999999997</v>
      </c>
      <c r="L20" s="16">
        <f>L22+L36+L105+L136</f>
        <v>59.646269719999999</v>
      </c>
      <c r="M20" s="16">
        <f>M22+M36+M105+M136</f>
        <v>8.9940451999999986</v>
      </c>
      <c r="N20" s="16">
        <f>N22+N36+N105+N136</f>
        <v>6.5887591999999993</v>
      </c>
      <c r="O20" s="16">
        <f>O22+O36+O105+O136</f>
        <v>79.654000915999987</v>
      </c>
      <c r="P20" s="16">
        <f>P22+P36+P105+P136</f>
        <v>2.3980664480000002</v>
      </c>
      <c r="Q20" s="16">
        <f>Q22+Q36+Q105+Q136</f>
        <v>68.725604136000001</v>
      </c>
      <c r="R20" s="16">
        <f>R22+R36+R105+R136</f>
        <v>0.48945074399999999</v>
      </c>
      <c r="S20" s="16">
        <f>S22+S36+S105+S136</f>
        <v>8.0408795879999992</v>
      </c>
      <c r="T20" s="16">
        <f>T22+T36+T105+T136</f>
        <v>145.70824259199998</v>
      </c>
      <c r="U20" s="16">
        <f>U22+U36+U105+U136</f>
        <v>9.3538979999999992</v>
      </c>
      <c r="V20" s="16">
        <f>V22+V36+V105+V136</f>
        <v>109.18726946000001</v>
      </c>
      <c r="W20" s="16">
        <f>W22+W36+W105+W136</f>
        <v>17.484238984000001</v>
      </c>
      <c r="X20" s="16">
        <f>X22+X36+X105+X136</f>
        <v>9.6828361479999998</v>
      </c>
      <c r="Y20" s="16">
        <f>Y22+Y36+Y105+Y136</f>
        <v>243.38460000000003</v>
      </c>
      <c r="Z20" s="16">
        <f>Z22+Z36+Z105+Z136</f>
        <v>11.632199999999999</v>
      </c>
      <c r="AA20" s="16">
        <f>AA22+AA36+AA105+AA136</f>
        <v>187.29600000000002</v>
      </c>
      <c r="AB20" s="16">
        <f>AB22+AB36+AB105+AB136</f>
        <v>26.29</v>
      </c>
      <c r="AC20" s="16">
        <f>AC22+AC36+AC105+AC136</f>
        <v>18.164000000000001</v>
      </c>
      <c r="AD20" s="16">
        <f>AD22+AD36+AD105+AD136</f>
        <v>741.03200000000004</v>
      </c>
      <c r="AE20" s="16">
        <f>AE22+AE36+AE105+AE136</f>
        <v>450.31473128999994</v>
      </c>
      <c r="AF20" s="16">
        <f>AF22+AF36+AF105+AF136</f>
        <v>21.868884399999999</v>
      </c>
      <c r="AG20" s="16">
        <f>AG22+AG36+AG105+AG136</f>
        <v>388.25978443999998</v>
      </c>
      <c r="AH20" s="16">
        <f>AH22+AH36+AH105+AH136</f>
        <v>29.08691911</v>
      </c>
      <c r="AI20" s="16">
        <f>AI22+AI36+AI105+AI136</f>
        <v>11.106250170000001</v>
      </c>
      <c r="AJ20" s="16">
        <f>AJ22+AJ36+AJ105+AJ136</f>
        <v>37.181951650000002</v>
      </c>
      <c r="AK20" s="16">
        <f>AK22+AK36+AK105+AK136</f>
        <v>3.87518143</v>
      </c>
      <c r="AL20" s="16">
        <f>AL22+AL36+AL105+AL136</f>
        <v>22.111907219999999</v>
      </c>
      <c r="AM20" s="16">
        <f>AM22+AM36+AM105+AM136</f>
        <v>10.554863000000001</v>
      </c>
      <c r="AN20" s="16">
        <f>AN22+AN36+AN105+AN136</f>
        <v>0.64000000000000012</v>
      </c>
      <c r="AO20" s="16">
        <f>AO22+AO36+AO105+AO136</f>
        <v>42.390487920000005</v>
      </c>
      <c r="AP20" s="16">
        <f>AP22+AP36+AP105+AP136</f>
        <v>3.0179698500000001</v>
      </c>
      <c r="AQ20" s="16">
        <f>AQ22+AQ36+AQ105+AQ136</f>
        <v>32.054004249999998</v>
      </c>
      <c r="AR20" s="16">
        <f>AR22+AR36+AR105+AR136</f>
        <v>5.7607902900000001</v>
      </c>
      <c r="AS20" s="16">
        <f>AS22+AS36+AS105+AS136</f>
        <v>1.5577235300000001</v>
      </c>
      <c r="AT20" s="16">
        <f>AT22+AT36+AT105+AT136</f>
        <v>169.24309256999996</v>
      </c>
      <c r="AU20" s="16">
        <f>AU22+AU36+AU105+AU136</f>
        <v>8.1197331199999994</v>
      </c>
      <c r="AV20" s="16">
        <f>AV22+AV36+AV105+AV136</f>
        <v>157.48346698999998</v>
      </c>
      <c r="AW20" s="16">
        <f>AW22+AW36+AW105+AW136</f>
        <v>0.58236581999999992</v>
      </c>
      <c r="AX20" s="16">
        <f>AX22+AX36+AX105+AX136</f>
        <v>3.0575266399999999</v>
      </c>
      <c r="AY20" s="16">
        <f>AY22+AY36+AY105+AY136</f>
        <v>201.50152364000002</v>
      </c>
      <c r="AZ20" s="16">
        <f>AZ22+AZ36+AZ105+AZ136</f>
        <v>6.8560000000000008</v>
      </c>
      <c r="BA20" s="16">
        <f>BA22+BA36+BA105+BA136</f>
        <v>176.61040598</v>
      </c>
      <c r="BB20" s="16">
        <f>BB22+BB36+BB105+BB136</f>
        <v>12.1889</v>
      </c>
      <c r="BC20" s="16">
        <f>BC22+BC36+BC105+BC136</f>
        <v>5.8509999999999991</v>
      </c>
    </row>
    <row r="21" spans="1:55" x14ac:dyDescent="0.25">
      <c r="A21" s="45">
        <v>1</v>
      </c>
      <c r="B21" s="45" t="s">
        <v>76</v>
      </c>
      <c r="C21" s="45" t="s">
        <v>77</v>
      </c>
      <c r="D21" s="16">
        <f t="shared" ref="D21:BC21" si="0">D20</f>
        <v>897.39268000000004</v>
      </c>
      <c r="E21" s="16">
        <f t="shared" si="0"/>
        <v>547.67508696400012</v>
      </c>
      <c r="F21" s="16">
        <f t="shared" si="0"/>
        <v>27.088164448000001</v>
      </c>
      <c r="G21" s="16">
        <f t="shared" si="0"/>
        <v>424.85514331600001</v>
      </c>
      <c r="H21" s="16">
        <f t="shared" si="0"/>
        <v>53.257734928000005</v>
      </c>
      <c r="I21" s="16">
        <f t="shared" si="0"/>
        <v>42.476474935999995</v>
      </c>
      <c r="J21" s="16">
        <f t="shared" si="0"/>
        <v>78.916243455999989</v>
      </c>
      <c r="K21" s="16">
        <f t="shared" si="0"/>
        <v>3.7039999999999997</v>
      </c>
      <c r="L21" s="16">
        <f t="shared" si="0"/>
        <v>59.646269719999999</v>
      </c>
      <c r="M21" s="16">
        <f t="shared" si="0"/>
        <v>8.9940451999999986</v>
      </c>
      <c r="N21" s="16">
        <f t="shared" si="0"/>
        <v>6.5887591999999993</v>
      </c>
      <c r="O21" s="16">
        <f t="shared" si="0"/>
        <v>79.654000915999987</v>
      </c>
      <c r="P21" s="16">
        <f t="shared" si="0"/>
        <v>2.3980664480000002</v>
      </c>
      <c r="Q21" s="16">
        <f t="shared" si="0"/>
        <v>68.725604136000001</v>
      </c>
      <c r="R21" s="16">
        <f t="shared" si="0"/>
        <v>0.48945074399999999</v>
      </c>
      <c r="S21" s="16">
        <f t="shared" si="0"/>
        <v>8.0408795879999992</v>
      </c>
      <c r="T21" s="16">
        <f t="shared" si="0"/>
        <v>145.70824259199998</v>
      </c>
      <c r="U21" s="16">
        <f t="shared" si="0"/>
        <v>9.3538979999999992</v>
      </c>
      <c r="V21" s="16">
        <f t="shared" si="0"/>
        <v>109.18726946000001</v>
      </c>
      <c r="W21" s="16">
        <f t="shared" si="0"/>
        <v>17.484238984000001</v>
      </c>
      <c r="X21" s="16">
        <f t="shared" si="0"/>
        <v>9.6828361479999998</v>
      </c>
      <c r="Y21" s="16">
        <f t="shared" si="0"/>
        <v>243.38460000000003</v>
      </c>
      <c r="Z21" s="16">
        <f t="shared" si="0"/>
        <v>11.632199999999999</v>
      </c>
      <c r="AA21" s="16">
        <f t="shared" si="0"/>
        <v>187.29600000000002</v>
      </c>
      <c r="AB21" s="16">
        <f t="shared" si="0"/>
        <v>26.29</v>
      </c>
      <c r="AC21" s="16">
        <f t="shared" si="0"/>
        <v>18.164000000000001</v>
      </c>
      <c r="AD21" s="16">
        <f t="shared" si="0"/>
        <v>741.03200000000004</v>
      </c>
      <c r="AE21" s="16">
        <f t="shared" si="0"/>
        <v>450.31473128999994</v>
      </c>
      <c r="AF21" s="16">
        <f t="shared" si="0"/>
        <v>21.868884399999999</v>
      </c>
      <c r="AG21" s="16">
        <f t="shared" si="0"/>
        <v>388.25978443999998</v>
      </c>
      <c r="AH21" s="16">
        <f t="shared" si="0"/>
        <v>29.08691911</v>
      </c>
      <c r="AI21" s="16">
        <f t="shared" si="0"/>
        <v>11.106250170000001</v>
      </c>
      <c r="AJ21" s="16">
        <f t="shared" si="0"/>
        <v>37.181951650000002</v>
      </c>
      <c r="AK21" s="16">
        <f t="shared" si="0"/>
        <v>3.87518143</v>
      </c>
      <c r="AL21" s="16">
        <f t="shared" si="0"/>
        <v>22.111907219999999</v>
      </c>
      <c r="AM21" s="16">
        <f t="shared" si="0"/>
        <v>10.554863000000001</v>
      </c>
      <c r="AN21" s="16">
        <f t="shared" si="0"/>
        <v>0.64000000000000012</v>
      </c>
      <c r="AO21" s="16">
        <f t="shared" si="0"/>
        <v>42.390487920000005</v>
      </c>
      <c r="AP21" s="16">
        <f t="shared" si="0"/>
        <v>3.0179698500000001</v>
      </c>
      <c r="AQ21" s="16">
        <f t="shared" si="0"/>
        <v>32.054004249999998</v>
      </c>
      <c r="AR21" s="16">
        <f t="shared" si="0"/>
        <v>5.7607902900000001</v>
      </c>
      <c r="AS21" s="16">
        <f t="shared" si="0"/>
        <v>1.5577235300000001</v>
      </c>
      <c r="AT21" s="16">
        <f t="shared" si="0"/>
        <v>169.24309256999996</v>
      </c>
      <c r="AU21" s="16">
        <f t="shared" si="0"/>
        <v>8.1197331199999994</v>
      </c>
      <c r="AV21" s="16">
        <f t="shared" si="0"/>
        <v>157.48346698999998</v>
      </c>
      <c r="AW21" s="16">
        <f t="shared" si="0"/>
        <v>0.58236581999999992</v>
      </c>
      <c r="AX21" s="16">
        <f t="shared" si="0"/>
        <v>3.0575266399999999</v>
      </c>
      <c r="AY21" s="16">
        <f t="shared" si="0"/>
        <v>201.50152364000002</v>
      </c>
      <c r="AZ21" s="16">
        <f t="shared" si="0"/>
        <v>6.8560000000000008</v>
      </c>
      <c r="BA21" s="16">
        <f t="shared" si="0"/>
        <v>176.61040598</v>
      </c>
      <c r="BB21" s="16">
        <f t="shared" si="0"/>
        <v>12.1889</v>
      </c>
      <c r="BC21" s="16">
        <f t="shared" si="0"/>
        <v>5.8509999999999991</v>
      </c>
    </row>
    <row r="22" spans="1:55" x14ac:dyDescent="0.25">
      <c r="A22" s="41" t="s">
        <v>78</v>
      </c>
      <c r="B22" s="53" t="s">
        <v>79</v>
      </c>
      <c r="C22" s="45" t="s">
        <v>77</v>
      </c>
      <c r="D22" s="16">
        <f>D23</f>
        <v>690.47399999999993</v>
      </c>
      <c r="E22" s="16">
        <f t="shared" ref="E22:BC22" si="1">E23</f>
        <v>417.80225944000006</v>
      </c>
      <c r="F22" s="16">
        <f t="shared" si="1"/>
        <v>19.79786494</v>
      </c>
      <c r="G22" s="16">
        <f t="shared" si="1"/>
        <v>324.22003041599999</v>
      </c>
      <c r="H22" s="16">
        <f t="shared" si="1"/>
        <v>49.651534928000004</v>
      </c>
      <c r="I22" s="16">
        <f t="shared" si="1"/>
        <v>24.136585155999999</v>
      </c>
      <c r="J22" s="16">
        <f t="shared" si="1"/>
        <v>35.57</v>
      </c>
      <c r="K22" s="16">
        <f t="shared" si="1"/>
        <v>1.8172047999999998</v>
      </c>
      <c r="L22" s="16">
        <f t="shared" si="1"/>
        <v>24.550266000000001</v>
      </c>
      <c r="M22" s="16">
        <f t="shared" si="1"/>
        <v>6.2590451999999992</v>
      </c>
      <c r="N22" s="16">
        <f t="shared" si="1"/>
        <v>2.9472399999999999</v>
      </c>
      <c r="O22" s="16">
        <f t="shared" si="1"/>
        <v>52.028979367999995</v>
      </c>
      <c r="P22" s="16">
        <f t="shared" si="1"/>
        <v>0.29285600000000001</v>
      </c>
      <c r="Q22" s="16">
        <f t="shared" si="1"/>
        <v>46.330216379999996</v>
      </c>
      <c r="R22" s="16">
        <f t="shared" si="1"/>
        <v>0.48945074399999999</v>
      </c>
      <c r="S22" s="16">
        <f t="shared" si="1"/>
        <v>4.916456243999999</v>
      </c>
      <c r="T22" s="16">
        <f t="shared" si="1"/>
        <v>116.957680072</v>
      </c>
      <c r="U22" s="16">
        <f t="shared" si="1"/>
        <v>6.7440041399999995</v>
      </c>
      <c r="V22" s="16">
        <f t="shared" si="1"/>
        <v>86.875148035999999</v>
      </c>
      <c r="W22" s="16">
        <f t="shared" si="1"/>
        <v>17.484238984000001</v>
      </c>
      <c r="X22" s="16">
        <f t="shared" si="1"/>
        <v>5.8542889120000003</v>
      </c>
      <c r="Y22" s="16">
        <f t="shared" si="1"/>
        <v>213.24560000000002</v>
      </c>
      <c r="Z22" s="16">
        <f t="shared" si="1"/>
        <v>10.9438</v>
      </c>
      <c r="AA22" s="16">
        <f t="shared" si="1"/>
        <v>166.46440000000001</v>
      </c>
      <c r="AB22" s="16">
        <f t="shared" si="1"/>
        <v>25.418800000000001</v>
      </c>
      <c r="AC22" s="16">
        <f t="shared" si="1"/>
        <v>10.4186</v>
      </c>
      <c r="AD22" s="16">
        <f t="shared" si="1"/>
        <v>573.51400000000001</v>
      </c>
      <c r="AE22" s="16">
        <f t="shared" si="1"/>
        <v>354.13736588</v>
      </c>
      <c r="AF22" s="16">
        <f t="shared" si="1"/>
        <v>14.498691599999999</v>
      </c>
      <c r="AG22" s="16">
        <f t="shared" si="1"/>
        <v>306.69794393999996</v>
      </c>
      <c r="AH22" s="16">
        <f t="shared" si="1"/>
        <v>26.07660911</v>
      </c>
      <c r="AI22" s="16">
        <f t="shared" si="1"/>
        <v>6.86717216</v>
      </c>
      <c r="AJ22" s="16">
        <f t="shared" si="1"/>
        <v>19.332151</v>
      </c>
      <c r="AK22" s="16">
        <f t="shared" si="1"/>
        <v>2.4683999999999999</v>
      </c>
      <c r="AL22" s="16">
        <f t="shared" si="1"/>
        <v>5.8488879999999996</v>
      </c>
      <c r="AM22" s="16">
        <f t="shared" si="1"/>
        <v>10.554863000000001</v>
      </c>
      <c r="AN22" s="16">
        <f t="shared" si="1"/>
        <v>0.46</v>
      </c>
      <c r="AO22" s="16">
        <f t="shared" si="1"/>
        <v>24.786533440000003</v>
      </c>
      <c r="AP22" s="16">
        <f t="shared" si="1"/>
        <v>0.64680558999999993</v>
      </c>
      <c r="AQ22" s="16">
        <f t="shared" si="1"/>
        <v>20.10025298</v>
      </c>
      <c r="AR22" s="16">
        <f t="shared" si="1"/>
        <v>3.4773802900000002</v>
      </c>
      <c r="AS22" s="16">
        <f t="shared" si="1"/>
        <v>0.56209458000000001</v>
      </c>
      <c r="AT22" s="16">
        <f t="shared" si="1"/>
        <v>130.94173236999998</v>
      </c>
      <c r="AU22" s="16">
        <f t="shared" si="1"/>
        <v>5.6824860099999999</v>
      </c>
      <c r="AV22" s="16">
        <f t="shared" si="1"/>
        <v>122.45380295999998</v>
      </c>
      <c r="AW22" s="16">
        <f t="shared" si="1"/>
        <v>0.58236581999999992</v>
      </c>
      <c r="AX22" s="16">
        <f t="shared" si="1"/>
        <v>2.22307758</v>
      </c>
      <c r="AY22" s="16">
        <f t="shared" si="1"/>
        <v>179.07694907000001</v>
      </c>
      <c r="AZ22" s="16">
        <f t="shared" si="1"/>
        <v>5.7010000000000005</v>
      </c>
      <c r="BA22" s="16">
        <f t="shared" si="1"/>
        <v>158.29499999999999</v>
      </c>
      <c r="BB22" s="16">
        <f t="shared" si="1"/>
        <v>11.462</v>
      </c>
      <c r="BC22" s="16">
        <f t="shared" si="1"/>
        <v>3.6219999999999999</v>
      </c>
    </row>
    <row r="23" spans="1:55" ht="47.25" x14ac:dyDescent="0.25">
      <c r="A23" s="41" t="s">
        <v>80</v>
      </c>
      <c r="B23" s="53" t="s">
        <v>81</v>
      </c>
      <c r="C23" s="45" t="s">
        <v>77</v>
      </c>
      <c r="D23" s="16">
        <f>SUM(D24:D26)</f>
        <v>690.47399999999993</v>
      </c>
      <c r="E23" s="16">
        <f t="shared" ref="E23:BC23" si="2">SUM(E24:E26)</f>
        <v>417.80225944000006</v>
      </c>
      <c r="F23" s="16">
        <f t="shared" si="2"/>
        <v>19.79786494</v>
      </c>
      <c r="G23" s="16">
        <f t="shared" si="2"/>
        <v>324.22003041599999</v>
      </c>
      <c r="H23" s="16">
        <f t="shared" si="2"/>
        <v>49.651534928000004</v>
      </c>
      <c r="I23" s="16">
        <f t="shared" si="2"/>
        <v>24.136585155999999</v>
      </c>
      <c r="J23" s="16">
        <f t="shared" si="2"/>
        <v>35.57</v>
      </c>
      <c r="K23" s="16">
        <f t="shared" si="2"/>
        <v>1.8172047999999998</v>
      </c>
      <c r="L23" s="16">
        <f t="shared" si="2"/>
        <v>24.550266000000001</v>
      </c>
      <c r="M23" s="16">
        <f t="shared" si="2"/>
        <v>6.2590451999999992</v>
      </c>
      <c r="N23" s="16">
        <f t="shared" si="2"/>
        <v>2.9472399999999999</v>
      </c>
      <c r="O23" s="16">
        <f t="shared" si="2"/>
        <v>52.028979367999995</v>
      </c>
      <c r="P23" s="16">
        <f t="shared" si="2"/>
        <v>0.29285600000000001</v>
      </c>
      <c r="Q23" s="16">
        <f t="shared" si="2"/>
        <v>46.330216379999996</v>
      </c>
      <c r="R23" s="16">
        <f t="shared" si="2"/>
        <v>0.48945074399999999</v>
      </c>
      <c r="S23" s="16">
        <f t="shared" si="2"/>
        <v>4.916456243999999</v>
      </c>
      <c r="T23" s="16">
        <f t="shared" si="2"/>
        <v>116.957680072</v>
      </c>
      <c r="U23" s="16">
        <f t="shared" si="2"/>
        <v>6.7440041399999995</v>
      </c>
      <c r="V23" s="16">
        <f t="shared" si="2"/>
        <v>86.875148035999999</v>
      </c>
      <c r="W23" s="16">
        <f t="shared" si="2"/>
        <v>17.484238984000001</v>
      </c>
      <c r="X23" s="16">
        <f t="shared" si="2"/>
        <v>5.8542889120000003</v>
      </c>
      <c r="Y23" s="16">
        <f t="shared" si="2"/>
        <v>213.24560000000002</v>
      </c>
      <c r="Z23" s="16">
        <f t="shared" si="2"/>
        <v>10.9438</v>
      </c>
      <c r="AA23" s="16">
        <f t="shared" si="2"/>
        <v>166.46440000000001</v>
      </c>
      <c r="AB23" s="16">
        <f t="shared" si="2"/>
        <v>25.418800000000001</v>
      </c>
      <c r="AC23" s="16">
        <f t="shared" si="2"/>
        <v>10.4186</v>
      </c>
      <c r="AD23" s="16">
        <f t="shared" si="2"/>
        <v>573.51400000000001</v>
      </c>
      <c r="AE23" s="16">
        <f t="shared" si="2"/>
        <v>354.13736588</v>
      </c>
      <c r="AF23" s="16">
        <f t="shared" si="2"/>
        <v>14.498691599999999</v>
      </c>
      <c r="AG23" s="16">
        <f t="shared" si="2"/>
        <v>306.69794393999996</v>
      </c>
      <c r="AH23" s="16">
        <f t="shared" si="2"/>
        <v>26.07660911</v>
      </c>
      <c r="AI23" s="16">
        <f t="shared" si="2"/>
        <v>6.86717216</v>
      </c>
      <c r="AJ23" s="16">
        <f t="shared" si="2"/>
        <v>19.332151</v>
      </c>
      <c r="AK23" s="16">
        <f t="shared" si="2"/>
        <v>2.4683999999999999</v>
      </c>
      <c r="AL23" s="16">
        <f t="shared" si="2"/>
        <v>5.8488879999999996</v>
      </c>
      <c r="AM23" s="16">
        <f t="shared" si="2"/>
        <v>10.554863000000001</v>
      </c>
      <c r="AN23" s="16">
        <f t="shared" si="2"/>
        <v>0.46</v>
      </c>
      <c r="AO23" s="16">
        <f t="shared" si="2"/>
        <v>24.786533440000003</v>
      </c>
      <c r="AP23" s="16">
        <f t="shared" si="2"/>
        <v>0.64680558999999993</v>
      </c>
      <c r="AQ23" s="16">
        <f t="shared" si="2"/>
        <v>20.10025298</v>
      </c>
      <c r="AR23" s="16">
        <f t="shared" si="2"/>
        <v>3.4773802900000002</v>
      </c>
      <c r="AS23" s="16">
        <f t="shared" si="2"/>
        <v>0.56209458000000001</v>
      </c>
      <c r="AT23" s="16">
        <f t="shared" si="2"/>
        <v>130.94173236999998</v>
      </c>
      <c r="AU23" s="16">
        <f t="shared" si="2"/>
        <v>5.6824860099999999</v>
      </c>
      <c r="AV23" s="16">
        <f t="shared" si="2"/>
        <v>122.45380295999998</v>
      </c>
      <c r="AW23" s="16">
        <f t="shared" si="2"/>
        <v>0.58236581999999992</v>
      </c>
      <c r="AX23" s="16">
        <f t="shared" si="2"/>
        <v>2.22307758</v>
      </c>
      <c r="AY23" s="16">
        <f t="shared" si="2"/>
        <v>179.07694907000001</v>
      </c>
      <c r="AZ23" s="16">
        <f t="shared" si="2"/>
        <v>5.7010000000000005</v>
      </c>
      <c r="BA23" s="16">
        <f t="shared" si="2"/>
        <v>158.29499999999999</v>
      </c>
      <c r="BB23" s="16">
        <f t="shared" si="2"/>
        <v>11.462</v>
      </c>
      <c r="BC23" s="16">
        <f t="shared" si="2"/>
        <v>3.6219999999999999</v>
      </c>
    </row>
    <row r="24" spans="1:55" ht="63" x14ac:dyDescent="0.25">
      <c r="A24" s="11" t="s">
        <v>82</v>
      </c>
      <c r="B24" s="64" t="s">
        <v>83</v>
      </c>
      <c r="C24" s="65" t="s">
        <v>77</v>
      </c>
      <c r="D24" s="19">
        <v>382.63499999999999</v>
      </c>
      <c r="E24" s="10">
        <f t="shared" ref="E24:I25" si="3">J24+O24+T24+Y24</f>
        <v>82.841914831999986</v>
      </c>
      <c r="F24" s="10">
        <f t="shared" si="3"/>
        <v>8.6594048000000008</v>
      </c>
      <c r="G24" s="10">
        <f t="shared" si="3"/>
        <v>60.046576860000002</v>
      </c>
      <c r="H24" s="10">
        <f t="shared" si="3"/>
        <v>8.3809897319999997</v>
      </c>
      <c r="I24" s="10">
        <f t="shared" si="3"/>
        <v>5.75869944</v>
      </c>
      <c r="J24" s="10">
        <v>5.79</v>
      </c>
      <c r="K24" s="10">
        <f>0.293504*1.2</f>
        <v>0.35220479999999998</v>
      </c>
      <c r="L24" s="10">
        <f>0.696055*1.2</f>
        <v>0.83526599999999995</v>
      </c>
      <c r="M24" s="10">
        <f>3.353371*1.2</f>
        <v>4.0240451999999998</v>
      </c>
      <c r="N24" s="10">
        <f>0.4852*1.2</f>
        <v>0.58223999999999998</v>
      </c>
      <c r="O24" s="10">
        <f>SUM(P24:S24)</f>
        <v>15.967919724000001</v>
      </c>
      <c r="P24" s="10">
        <f>0.041*1.2</f>
        <v>4.9200000000000001E-2</v>
      </c>
      <c r="Q24" s="10">
        <f>10.10551145*1.2</f>
        <v>12.12661374</v>
      </c>
      <c r="R24" s="10">
        <f>0.40787562*1.2</f>
        <v>0.48945074399999999</v>
      </c>
      <c r="S24" s="10">
        <f>2.7522127*1.2</f>
        <v>3.3026552399999995</v>
      </c>
      <c r="T24" s="10">
        <f>SUM(U24:X24)</f>
        <v>22.477595107999996</v>
      </c>
      <c r="U24" s="10">
        <v>4.67</v>
      </c>
      <c r="V24" s="10">
        <v>16.904697119999998</v>
      </c>
      <c r="W24" s="10">
        <v>0.117493788</v>
      </c>
      <c r="X24" s="10">
        <v>0.7854042</v>
      </c>
      <c r="Y24" s="10">
        <f>SUM(Z24:AC24)</f>
        <v>38.606400000000001</v>
      </c>
      <c r="Z24" s="10">
        <v>3.5880000000000001</v>
      </c>
      <c r="AA24" s="10">
        <v>30.18</v>
      </c>
      <c r="AB24" s="10">
        <v>3.75</v>
      </c>
      <c r="AC24" s="10">
        <v>1.0884</v>
      </c>
      <c r="AD24" s="35">
        <v>318.87</v>
      </c>
      <c r="AE24" s="10">
        <f t="shared" ref="AE24:AI25" si="4">AJ24+AO24+AT24+AY24</f>
        <v>79.466739200000006</v>
      </c>
      <c r="AF24" s="10">
        <f t="shared" si="4"/>
        <v>6.927472869999999</v>
      </c>
      <c r="AG24" s="10">
        <f t="shared" si="4"/>
        <v>62.088151879999998</v>
      </c>
      <c r="AH24" s="10">
        <f t="shared" si="4"/>
        <v>8.4864790299999999</v>
      </c>
      <c r="AI24" s="10">
        <f t="shared" si="4"/>
        <v>1.96463542</v>
      </c>
      <c r="AJ24" s="21">
        <f>SUM(AK24:AN24)</f>
        <v>5.4407509999999997</v>
      </c>
      <c r="AK24" s="10">
        <v>1.8460000000000001</v>
      </c>
      <c r="AL24" s="10">
        <v>0.21388799999999999</v>
      </c>
      <c r="AM24" s="10">
        <v>2.9208630000000002</v>
      </c>
      <c r="AN24" s="10">
        <v>0.46</v>
      </c>
      <c r="AO24" s="10">
        <f>SUM(AP24:AS24)</f>
        <v>11.521672290000001</v>
      </c>
      <c r="AP24" s="10">
        <f>0.45142559+0.16</f>
        <v>0.61142558999999996</v>
      </c>
      <c r="AQ24" s="10">
        <v>8.1580340000000007</v>
      </c>
      <c r="AR24" s="10">
        <v>2.2007045399999998</v>
      </c>
      <c r="AS24" s="10">
        <v>0.55150816000000003</v>
      </c>
      <c r="AT24" s="10">
        <f>SUM(AU24:AX24)</f>
        <v>15.075315909999999</v>
      </c>
      <c r="AU24" s="10">
        <f>1.39104728+0.78</f>
        <v>2.1710472799999998</v>
      </c>
      <c r="AV24" s="10">
        <f>2.70322988+9.344+0.12</f>
        <v>12.167229879999999</v>
      </c>
      <c r="AW24" s="10">
        <f>0.09791149+0.139</f>
        <v>0.23691149</v>
      </c>
      <c r="AX24" s="10">
        <v>0.50012725999999996</v>
      </c>
      <c r="AY24" s="10">
        <f>SUM(AZ24:BC24)</f>
        <v>47.429000000000002</v>
      </c>
      <c r="AZ24" s="10">
        <v>2.2989999999999999</v>
      </c>
      <c r="BA24" s="10">
        <f>41.478+0.071</f>
        <v>41.548999999999999</v>
      </c>
      <c r="BB24" s="10">
        <v>3.1280000000000001</v>
      </c>
      <c r="BC24" s="10">
        <v>0.45300000000000001</v>
      </c>
    </row>
    <row r="25" spans="1:55" ht="63" x14ac:dyDescent="0.25">
      <c r="A25" s="11" t="s">
        <v>84</v>
      </c>
      <c r="B25" s="64" t="s">
        <v>85</v>
      </c>
      <c r="C25" s="65" t="s">
        <v>77</v>
      </c>
      <c r="D25" s="19">
        <v>210.535</v>
      </c>
      <c r="E25" s="10">
        <f t="shared" si="3"/>
        <v>217.19272945200001</v>
      </c>
      <c r="F25" s="10">
        <f t="shared" si="3"/>
        <v>4.9626601400000006</v>
      </c>
      <c r="G25" s="10">
        <f t="shared" si="3"/>
        <v>163.59305436</v>
      </c>
      <c r="H25" s="10">
        <f t="shared" si="3"/>
        <v>33.880545196</v>
      </c>
      <c r="I25" s="10">
        <f t="shared" si="3"/>
        <v>14.756469756</v>
      </c>
      <c r="J25" s="10">
        <f>SUM(K25:N25)</f>
        <v>18.559999999999999</v>
      </c>
      <c r="K25" s="10">
        <f>0.375+0.12</f>
        <v>0.495</v>
      </c>
      <c r="L25" s="10">
        <v>13.574999999999999</v>
      </c>
      <c r="M25" s="10">
        <v>2.2349999999999999</v>
      </c>
      <c r="N25" s="10">
        <v>2.2549999999999999</v>
      </c>
      <c r="O25" s="10">
        <f>SUM(P25:S25)</f>
        <v>28.615809847999998</v>
      </c>
      <c r="P25" s="10">
        <f>0.03638*1.2+0.2</f>
        <v>0.24365600000000001</v>
      </c>
      <c r="Q25" s="10">
        <f>22.29862737*1.2</f>
        <v>26.758352843999997</v>
      </c>
      <c r="R25" s="10">
        <v>0</v>
      </c>
      <c r="S25" s="10">
        <f>1.34483417*1.2</f>
        <v>1.6138010039999999</v>
      </c>
      <c r="T25" s="10">
        <f>SUM(U25:X25)</f>
        <v>65.550919604000001</v>
      </c>
      <c r="U25" s="10">
        <f>2.29800414-0.224</f>
        <v>2.07400414</v>
      </c>
      <c r="V25" s="10">
        <f>42.499701516+1.37</f>
        <v>43.869701515999999</v>
      </c>
      <c r="W25" s="10">
        <v>17.366745196</v>
      </c>
      <c r="X25" s="10">
        <f>2.149468752+91000/1000000</f>
        <v>2.2404687520000004</v>
      </c>
      <c r="Y25" s="10">
        <f>SUM(Z25:AC25)</f>
        <v>104.46600000000001</v>
      </c>
      <c r="Z25" s="10">
        <v>2.15</v>
      </c>
      <c r="AA25" s="10">
        <v>79.39</v>
      </c>
      <c r="AB25" s="10">
        <v>14.2788</v>
      </c>
      <c r="AC25" s="10">
        <v>8.6471999999999998</v>
      </c>
      <c r="AD25" s="35">
        <v>175.45</v>
      </c>
      <c r="AE25" s="10">
        <f>AJ25+AO25+AT25+AY25</f>
        <v>178.50742145999999</v>
      </c>
      <c r="AF25" s="10">
        <f t="shared" si="4"/>
        <v>5.7512187299999997</v>
      </c>
      <c r="AG25" s="10">
        <f t="shared" si="4"/>
        <v>157.01212232999998</v>
      </c>
      <c r="AH25" s="10">
        <f t="shared" si="4"/>
        <v>11.420130080000002</v>
      </c>
      <c r="AI25" s="10">
        <f t="shared" si="4"/>
        <v>4.3239503199999998</v>
      </c>
      <c r="AJ25" s="21">
        <f>SUM(AK25:AN25)</f>
        <v>13.891400000000001</v>
      </c>
      <c r="AK25" s="10">
        <f>0.5224+0.1</f>
        <v>0.62239999999999995</v>
      </c>
      <c r="AL25" s="10">
        <v>5.6349999999999998</v>
      </c>
      <c r="AM25" s="10">
        <v>7.6340000000000003</v>
      </c>
      <c r="AN25" s="10">
        <v>0</v>
      </c>
      <c r="AO25" s="10">
        <f>SUM(AP25:AS25)</f>
        <v>13.254274730000001</v>
      </c>
      <c r="AP25" s="10">
        <v>3.5380000000000002E-2</v>
      </c>
      <c r="AQ25" s="10">
        <v>11.94221898</v>
      </c>
      <c r="AR25" s="10">
        <v>1.2766757500000001</v>
      </c>
      <c r="AS25" s="10">
        <v>0</v>
      </c>
      <c r="AT25" s="10">
        <f>SUM(AU25:AX25)</f>
        <v>86.428746729999972</v>
      </c>
      <c r="AU25" s="10">
        <f>3.20943873+0.102+0.2</f>
        <v>3.5114387300000001</v>
      </c>
      <c r="AV25" s="10">
        <f>80.02890335+0.82</f>
        <v>80.848903349999986</v>
      </c>
      <c r="AW25" s="10">
        <v>0.34545432999999998</v>
      </c>
      <c r="AX25" s="10">
        <f>1.69595032+0.027</f>
        <v>1.7229503199999998</v>
      </c>
      <c r="AY25" s="10">
        <f>SUM(AZ25:BC25)</f>
        <v>64.933000000000007</v>
      </c>
      <c r="AZ25" s="10">
        <v>1.5820000000000001</v>
      </c>
      <c r="BA25" s="10">
        <f>59.226-0.64</f>
        <v>58.585999999999999</v>
      </c>
      <c r="BB25" s="10">
        <v>2.1640000000000001</v>
      </c>
      <c r="BC25" s="10">
        <v>2.601</v>
      </c>
    </row>
    <row r="26" spans="1:55" ht="47.25" x14ac:dyDescent="0.25">
      <c r="A26" s="11" t="s">
        <v>86</v>
      </c>
      <c r="B26" s="64" t="s">
        <v>87</v>
      </c>
      <c r="C26" s="65" t="s">
        <v>77</v>
      </c>
      <c r="D26" s="10">
        <f t="shared" ref="D26:AI26" si="5">SUM(D27:D35)</f>
        <v>97.304000000000002</v>
      </c>
      <c r="E26" s="10">
        <f t="shared" si="5"/>
        <v>117.76761515600001</v>
      </c>
      <c r="F26" s="10">
        <f t="shared" si="5"/>
        <v>6.1757999999999988</v>
      </c>
      <c r="G26" s="10">
        <f t="shared" si="5"/>
        <v>100.580399196</v>
      </c>
      <c r="H26" s="10">
        <f t="shared" si="5"/>
        <v>7.39</v>
      </c>
      <c r="I26" s="10">
        <f t="shared" si="5"/>
        <v>3.6214159600000002</v>
      </c>
      <c r="J26" s="10">
        <f t="shared" si="5"/>
        <v>11.22</v>
      </c>
      <c r="K26" s="10">
        <f t="shared" si="5"/>
        <v>0.97</v>
      </c>
      <c r="L26" s="10">
        <f t="shared" si="5"/>
        <v>10.14</v>
      </c>
      <c r="M26" s="10">
        <f t="shared" si="5"/>
        <v>0</v>
      </c>
      <c r="N26" s="10">
        <f t="shared" si="5"/>
        <v>0.11</v>
      </c>
      <c r="O26" s="10">
        <f t="shared" si="5"/>
        <v>7.4452497960000006</v>
      </c>
      <c r="P26" s="10">
        <f t="shared" si="5"/>
        <v>0</v>
      </c>
      <c r="Q26" s="10">
        <f t="shared" si="5"/>
        <v>7.4452497960000006</v>
      </c>
      <c r="R26" s="10">
        <f t="shared" si="5"/>
        <v>0</v>
      </c>
      <c r="S26" s="10">
        <f t="shared" si="5"/>
        <v>0</v>
      </c>
      <c r="T26" s="10">
        <f t="shared" si="5"/>
        <v>28.929165359999999</v>
      </c>
      <c r="U26" s="10">
        <f t="shared" si="5"/>
        <v>0</v>
      </c>
      <c r="V26" s="10">
        <f t="shared" si="5"/>
        <v>26.100749400000002</v>
      </c>
      <c r="W26" s="10">
        <f t="shared" si="5"/>
        <v>0</v>
      </c>
      <c r="X26" s="10">
        <f t="shared" si="5"/>
        <v>2.8284159600000001</v>
      </c>
      <c r="Y26" s="10">
        <f t="shared" si="5"/>
        <v>70.173199999999994</v>
      </c>
      <c r="Z26" s="10">
        <f t="shared" si="5"/>
        <v>5.2058</v>
      </c>
      <c r="AA26" s="10">
        <f t="shared" si="5"/>
        <v>56.894400000000005</v>
      </c>
      <c r="AB26" s="10">
        <f t="shared" si="5"/>
        <v>7.39</v>
      </c>
      <c r="AC26" s="10">
        <f t="shared" si="5"/>
        <v>0.68299999999999994</v>
      </c>
      <c r="AD26" s="10">
        <f t="shared" si="5"/>
        <v>79.193999999999988</v>
      </c>
      <c r="AE26" s="10">
        <f t="shared" si="5"/>
        <v>96.163205219999995</v>
      </c>
      <c r="AF26" s="10">
        <f t="shared" si="5"/>
        <v>1.8199999999999998</v>
      </c>
      <c r="AG26" s="10">
        <f t="shared" si="5"/>
        <v>87.597669730000007</v>
      </c>
      <c r="AH26" s="10">
        <f t="shared" si="5"/>
        <v>6.17</v>
      </c>
      <c r="AI26" s="10">
        <f t="shared" si="5"/>
        <v>0.57858642000000005</v>
      </c>
      <c r="AJ26" s="10">
        <f t="shared" ref="AJ26:BC26" si="6">SUM(AJ27:AJ35)</f>
        <v>0</v>
      </c>
      <c r="AK26" s="10">
        <f t="shared" si="6"/>
        <v>0</v>
      </c>
      <c r="AL26" s="10">
        <f t="shared" si="6"/>
        <v>0</v>
      </c>
      <c r="AM26" s="10">
        <f t="shared" si="6"/>
        <v>0</v>
      </c>
      <c r="AN26" s="10">
        <f t="shared" si="6"/>
        <v>0</v>
      </c>
      <c r="AO26" s="10">
        <f t="shared" si="6"/>
        <v>1.0586419999999999E-2</v>
      </c>
      <c r="AP26" s="10">
        <f t="shared" si="6"/>
        <v>0</v>
      </c>
      <c r="AQ26" s="10">
        <f t="shared" si="6"/>
        <v>0</v>
      </c>
      <c r="AR26" s="10">
        <f t="shared" si="6"/>
        <v>0</v>
      </c>
      <c r="AS26" s="10">
        <f t="shared" si="6"/>
        <v>1.0586419999999999E-2</v>
      </c>
      <c r="AT26" s="10">
        <f t="shared" si="6"/>
        <v>29.43766973</v>
      </c>
      <c r="AU26" s="10">
        <f t="shared" si="6"/>
        <v>0</v>
      </c>
      <c r="AV26" s="10">
        <f t="shared" si="6"/>
        <v>29.43766973</v>
      </c>
      <c r="AW26" s="10">
        <f t="shared" si="6"/>
        <v>0</v>
      </c>
      <c r="AX26" s="10">
        <f t="shared" si="6"/>
        <v>0</v>
      </c>
      <c r="AY26" s="10">
        <f t="shared" si="6"/>
        <v>66.714949070000003</v>
      </c>
      <c r="AZ26" s="10">
        <f t="shared" si="6"/>
        <v>1.8199999999999998</v>
      </c>
      <c r="BA26" s="10">
        <f t="shared" si="6"/>
        <v>58.160000000000004</v>
      </c>
      <c r="BB26" s="10">
        <f t="shared" si="6"/>
        <v>6.17</v>
      </c>
      <c r="BC26" s="10">
        <f t="shared" si="6"/>
        <v>0.56800000000000006</v>
      </c>
    </row>
    <row r="27" spans="1:55" ht="47.25" x14ac:dyDescent="0.25">
      <c r="A27" s="11" t="s">
        <v>88</v>
      </c>
      <c r="B27" s="36" t="s">
        <v>196</v>
      </c>
      <c r="C27" s="37" t="s">
        <v>197</v>
      </c>
      <c r="D27" s="10">
        <v>45.603999999999999</v>
      </c>
      <c r="E27" s="10">
        <f t="shared" ref="E27:G29" si="7">J27+O27+T27+Y27</f>
        <v>44.4221498</v>
      </c>
      <c r="F27" s="10">
        <f t="shared" si="7"/>
        <v>3.254</v>
      </c>
      <c r="G27" s="10">
        <f t="shared" si="7"/>
        <v>41.168149800000002</v>
      </c>
      <c r="H27" s="10">
        <f t="shared" ref="H27" si="8">M27+R27+W27+AB27</f>
        <v>0</v>
      </c>
      <c r="I27" s="10">
        <f t="shared" ref="I27" si="9">N27+S27+X27+AC27</f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f t="shared" ref="O27:O35" si="10">SUM(P27:S27)</f>
        <v>6.4737498000000002</v>
      </c>
      <c r="P27" s="10">
        <v>0</v>
      </c>
      <c r="Q27" s="10">
        <f>5.3947915*1.2</f>
        <v>6.4737498000000002</v>
      </c>
      <c r="R27" s="10">
        <v>0</v>
      </c>
      <c r="S27" s="10">
        <v>0</v>
      </c>
      <c r="T27" s="10">
        <f t="shared" ref="T27:T28" si="11">SUM(U27:X27)</f>
        <v>0</v>
      </c>
      <c r="U27" s="10">
        <v>0</v>
      </c>
      <c r="V27" s="10">
        <v>0</v>
      </c>
      <c r="W27" s="10">
        <v>0</v>
      </c>
      <c r="X27" s="10">
        <v>0</v>
      </c>
      <c r="Y27" s="17">
        <f>SUM(Z27:AC27)</f>
        <v>37.948399999999999</v>
      </c>
      <c r="Z27" s="10">
        <v>3.254</v>
      </c>
      <c r="AA27" s="10">
        <v>34.694400000000002</v>
      </c>
      <c r="AB27" s="10">
        <v>0</v>
      </c>
      <c r="AC27" s="10">
        <v>0</v>
      </c>
      <c r="AD27" s="10">
        <v>38</v>
      </c>
      <c r="AE27" s="10">
        <f t="shared" ref="AE27:AI35" si="12">AJ27+AO27+AT27+AY27</f>
        <v>55.27766973</v>
      </c>
      <c r="AF27" s="10">
        <f t="shared" si="12"/>
        <v>0</v>
      </c>
      <c r="AG27" s="10">
        <f t="shared" si="12"/>
        <v>55.27766973</v>
      </c>
      <c r="AH27" s="10">
        <f t="shared" si="12"/>
        <v>0</v>
      </c>
      <c r="AI27" s="10">
        <f t="shared" si="12"/>
        <v>0</v>
      </c>
      <c r="AJ27" s="10">
        <f t="shared" ref="AJ27:AJ35" si="13">SUM(AK27:AN27)</f>
        <v>0</v>
      </c>
      <c r="AK27" s="10">
        <v>0</v>
      </c>
      <c r="AL27" s="10">
        <v>0</v>
      </c>
      <c r="AM27" s="10">
        <v>0</v>
      </c>
      <c r="AN27" s="10">
        <v>0</v>
      </c>
      <c r="AO27" s="10">
        <f t="shared" ref="AO27:AO35" si="14">SUM(AP27:AS27)</f>
        <v>0</v>
      </c>
      <c r="AP27" s="10">
        <v>0</v>
      </c>
      <c r="AQ27" s="10">
        <v>0</v>
      </c>
      <c r="AR27" s="10">
        <v>0</v>
      </c>
      <c r="AS27" s="10">
        <v>0</v>
      </c>
      <c r="AT27" s="10">
        <f>SUM(AU27:AX27)</f>
        <v>29.43766973</v>
      </c>
      <c r="AU27" s="10">
        <v>0</v>
      </c>
      <c r="AV27" s="10">
        <v>29.43766973</v>
      </c>
      <c r="AW27" s="10">
        <v>0</v>
      </c>
      <c r="AX27" s="10">
        <v>0</v>
      </c>
      <c r="AY27" s="10">
        <v>25.84</v>
      </c>
      <c r="AZ27" s="10">
        <v>0</v>
      </c>
      <c r="BA27" s="10">
        <v>25.84</v>
      </c>
      <c r="BB27" s="10">
        <v>0</v>
      </c>
      <c r="BC27" s="10">
        <v>0</v>
      </c>
    </row>
    <row r="28" spans="1:55" ht="31.5" x14ac:dyDescent="0.25">
      <c r="A28" s="11" t="s">
        <v>92</v>
      </c>
      <c r="B28" s="38" t="s">
        <v>225</v>
      </c>
      <c r="C28" s="39" t="s">
        <v>226</v>
      </c>
      <c r="D28" s="10">
        <v>11.16</v>
      </c>
      <c r="E28" s="10">
        <f t="shared" si="7"/>
        <v>0</v>
      </c>
      <c r="F28" s="10">
        <f t="shared" si="7"/>
        <v>0</v>
      </c>
      <c r="G28" s="10">
        <f t="shared" si="7"/>
        <v>0</v>
      </c>
      <c r="H28" s="10">
        <f t="shared" ref="H28:H35" si="15">M28+R28+W28+AB28</f>
        <v>0</v>
      </c>
      <c r="I28" s="10">
        <f t="shared" ref="I28:I35" si="16">N28+S28+X28+AC28</f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f t="shared" si="10"/>
        <v>0</v>
      </c>
      <c r="P28" s="10">
        <v>0</v>
      </c>
      <c r="Q28" s="10">
        <v>0</v>
      </c>
      <c r="R28" s="10">
        <v>0</v>
      </c>
      <c r="S28" s="10">
        <v>0</v>
      </c>
      <c r="T28" s="10">
        <f t="shared" si="11"/>
        <v>0</v>
      </c>
      <c r="U28" s="10">
        <v>0</v>
      </c>
      <c r="V28" s="10">
        <v>0</v>
      </c>
      <c r="W28" s="10">
        <v>0</v>
      </c>
      <c r="X28" s="10">
        <v>0</v>
      </c>
      <c r="Y28" s="17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9.3040000000000003</v>
      </c>
      <c r="AE28" s="10">
        <f t="shared" si="12"/>
        <v>0</v>
      </c>
      <c r="AF28" s="10">
        <f t="shared" si="12"/>
        <v>0</v>
      </c>
      <c r="AG28" s="10">
        <f t="shared" si="12"/>
        <v>0</v>
      </c>
      <c r="AH28" s="10">
        <f t="shared" si="12"/>
        <v>0</v>
      </c>
      <c r="AI28" s="10">
        <f t="shared" si="12"/>
        <v>0</v>
      </c>
      <c r="AJ28" s="10">
        <f t="shared" si="13"/>
        <v>0</v>
      </c>
      <c r="AK28" s="10">
        <v>0</v>
      </c>
      <c r="AL28" s="10">
        <v>0</v>
      </c>
      <c r="AM28" s="10">
        <v>0</v>
      </c>
      <c r="AN28" s="10">
        <v>0</v>
      </c>
      <c r="AO28" s="10">
        <f t="shared" si="14"/>
        <v>0</v>
      </c>
      <c r="AP28" s="10">
        <v>0</v>
      </c>
      <c r="AQ28" s="10">
        <v>0</v>
      </c>
      <c r="AR28" s="10">
        <v>0</v>
      </c>
      <c r="AS28" s="10">
        <v>0</v>
      </c>
      <c r="AT28" s="10">
        <f>SUM(AU28:AX28)</f>
        <v>0</v>
      </c>
      <c r="AU28" s="10">
        <v>0</v>
      </c>
      <c r="AV28" s="10">
        <v>0</v>
      </c>
      <c r="AW28" s="10">
        <v>0</v>
      </c>
      <c r="AX28" s="10">
        <v>0</v>
      </c>
      <c r="AY28" s="10">
        <v>0</v>
      </c>
      <c r="AZ28" s="10">
        <v>0</v>
      </c>
      <c r="BA28" s="10">
        <v>0</v>
      </c>
      <c r="BB28" s="10">
        <v>0</v>
      </c>
      <c r="BC28" s="10">
        <v>0</v>
      </c>
    </row>
    <row r="29" spans="1:55" ht="31.5" x14ac:dyDescent="0.25">
      <c r="A29" s="11" t="s">
        <v>93</v>
      </c>
      <c r="B29" s="39" t="s">
        <v>314</v>
      </c>
      <c r="C29" s="40" t="s">
        <v>315</v>
      </c>
      <c r="D29" s="10" t="s">
        <v>91</v>
      </c>
      <c r="E29" s="10">
        <f t="shared" si="7"/>
        <v>25.483499999999999</v>
      </c>
      <c r="F29" s="10">
        <f t="shared" si="7"/>
        <v>0.81399999999999995</v>
      </c>
      <c r="G29" s="10">
        <f t="shared" si="7"/>
        <v>17.279499999999999</v>
      </c>
      <c r="H29" s="10">
        <f t="shared" si="15"/>
        <v>7.39</v>
      </c>
      <c r="I29" s="10">
        <f t="shared" si="16"/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f t="shared" ref="O29" si="17">SUM(P29:S29)</f>
        <v>0</v>
      </c>
      <c r="P29" s="10">
        <v>0</v>
      </c>
      <c r="Q29" s="10">
        <v>0</v>
      </c>
      <c r="R29" s="10">
        <v>0</v>
      </c>
      <c r="S29" s="10">
        <v>0</v>
      </c>
      <c r="T29" s="10">
        <f>SUM(U29:X29)</f>
        <v>6.6795</v>
      </c>
      <c r="U29" s="10">
        <v>0</v>
      </c>
      <c r="V29" s="10">
        <v>6.6795</v>
      </c>
      <c r="W29" s="10">
        <v>0</v>
      </c>
      <c r="X29" s="10">
        <v>0</v>
      </c>
      <c r="Y29" s="17">
        <f>SUM(Z29:AC29)</f>
        <v>18.803999999999998</v>
      </c>
      <c r="Z29" s="10">
        <v>0.81399999999999995</v>
      </c>
      <c r="AA29" s="10">
        <v>10.6</v>
      </c>
      <c r="AB29" s="10">
        <v>7.39</v>
      </c>
      <c r="AC29" s="10">
        <v>0</v>
      </c>
      <c r="AD29" s="10" t="s">
        <v>91</v>
      </c>
      <c r="AE29" s="10">
        <f t="shared" si="12"/>
        <v>21.235935000000001</v>
      </c>
      <c r="AF29" s="10">
        <f t="shared" si="12"/>
        <v>0.67</v>
      </c>
      <c r="AG29" s="10">
        <f t="shared" si="12"/>
        <v>14.4</v>
      </c>
      <c r="AH29" s="10">
        <f t="shared" si="12"/>
        <v>6.17</v>
      </c>
      <c r="AI29" s="10">
        <f t="shared" si="12"/>
        <v>0</v>
      </c>
      <c r="AJ29" s="10">
        <f>SUM(AK29:AN29)</f>
        <v>0</v>
      </c>
      <c r="AK29" s="10">
        <v>0</v>
      </c>
      <c r="AL29" s="10">
        <v>0</v>
      </c>
      <c r="AM29" s="10">
        <v>0</v>
      </c>
      <c r="AN29" s="10">
        <v>0</v>
      </c>
      <c r="AO29" s="10">
        <f>SUM(AP29:AS29)</f>
        <v>0</v>
      </c>
      <c r="AP29" s="10">
        <v>0</v>
      </c>
      <c r="AQ29" s="10">
        <v>0</v>
      </c>
      <c r="AR29" s="10">
        <v>0</v>
      </c>
      <c r="AS29" s="10">
        <v>0</v>
      </c>
      <c r="AT29" s="10">
        <v>0</v>
      </c>
      <c r="AU29" s="10">
        <v>0</v>
      </c>
      <c r="AV29" s="10">
        <v>0</v>
      </c>
      <c r="AW29" s="10">
        <v>0</v>
      </c>
      <c r="AX29" s="10">
        <v>0</v>
      </c>
      <c r="AY29" s="10">
        <v>21.235935000000001</v>
      </c>
      <c r="AZ29" s="10">
        <v>0.67</v>
      </c>
      <c r="BA29" s="10">
        <v>14.4</v>
      </c>
      <c r="BB29" s="10">
        <v>6.17</v>
      </c>
      <c r="BC29" s="10">
        <v>0</v>
      </c>
    </row>
    <row r="30" spans="1:55" ht="47.25" x14ac:dyDescent="0.25">
      <c r="A30" s="11" t="s">
        <v>94</v>
      </c>
      <c r="B30" s="40" t="s">
        <v>278</v>
      </c>
      <c r="C30" s="41" t="s">
        <v>279</v>
      </c>
      <c r="D30" s="10">
        <v>2.88</v>
      </c>
      <c r="E30" s="10">
        <f t="shared" ref="E30:G35" si="18">J30+O30+T30+Y30</f>
        <v>2.4927037040000002</v>
      </c>
      <c r="F30" s="10">
        <f t="shared" si="18"/>
        <v>0</v>
      </c>
      <c r="G30" s="10">
        <f t="shared" si="18"/>
        <v>2.4</v>
      </c>
      <c r="H30" s="10">
        <f t="shared" si="15"/>
        <v>0</v>
      </c>
      <c r="I30" s="10">
        <f t="shared" si="16"/>
        <v>9.2703703999999998E-2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f t="shared" si="10"/>
        <v>0</v>
      </c>
      <c r="P30" s="10">
        <v>0</v>
      </c>
      <c r="Q30" s="10">
        <v>0</v>
      </c>
      <c r="R30" s="10">
        <v>0</v>
      </c>
      <c r="S30" s="10">
        <v>0</v>
      </c>
      <c r="T30" s="10">
        <f t="shared" ref="T30:T35" si="19">SUM(U30:X30)</f>
        <v>1.2703703999999998E-2</v>
      </c>
      <c r="U30" s="10">
        <v>0</v>
      </c>
      <c r="V30" s="10">
        <v>0</v>
      </c>
      <c r="W30" s="10">
        <v>0</v>
      </c>
      <c r="X30" s="10">
        <v>1.2703703999999998E-2</v>
      </c>
      <c r="Y30" s="17">
        <f>SUM(Z30:AC30)</f>
        <v>2.48</v>
      </c>
      <c r="Z30" s="10">
        <v>0</v>
      </c>
      <c r="AA30" s="10">
        <v>2.4</v>
      </c>
      <c r="AB30" s="10">
        <v>0</v>
      </c>
      <c r="AC30" s="10">
        <v>0.08</v>
      </c>
      <c r="AD30" s="10">
        <v>2.4</v>
      </c>
      <c r="AE30" s="10">
        <f t="shared" ref="AE30:AI31" si="20">AJ30+AO30+AT30+AY30</f>
        <v>2.0795758800000002</v>
      </c>
      <c r="AF30" s="10">
        <f t="shared" si="20"/>
        <v>0</v>
      </c>
      <c r="AG30" s="10">
        <f t="shared" si="20"/>
        <v>2</v>
      </c>
      <c r="AH30" s="10">
        <f t="shared" si="20"/>
        <v>0</v>
      </c>
      <c r="AI30" s="10">
        <f t="shared" si="20"/>
        <v>7.8586420000000004E-2</v>
      </c>
      <c r="AJ30" s="10">
        <f>SUM(AK30:AN30)</f>
        <v>0</v>
      </c>
      <c r="AK30" s="10">
        <v>0</v>
      </c>
      <c r="AL30" s="10">
        <v>0</v>
      </c>
      <c r="AM30" s="10">
        <v>0</v>
      </c>
      <c r="AN30" s="10">
        <v>0</v>
      </c>
      <c r="AO30" s="10">
        <f>SUM(AP30:AS30)</f>
        <v>1.0586419999999999E-2</v>
      </c>
      <c r="AP30" s="10">
        <v>0</v>
      </c>
      <c r="AQ30" s="10">
        <v>0</v>
      </c>
      <c r="AR30" s="10">
        <v>0</v>
      </c>
      <c r="AS30" s="10">
        <v>1.0586419999999999E-2</v>
      </c>
      <c r="AT30" s="10">
        <v>0</v>
      </c>
      <c r="AU30" s="10">
        <v>0</v>
      </c>
      <c r="AV30" s="10">
        <v>0</v>
      </c>
      <c r="AW30" s="10">
        <v>0</v>
      </c>
      <c r="AX30" s="10">
        <v>0</v>
      </c>
      <c r="AY30" s="10">
        <v>2.0689894600000001</v>
      </c>
      <c r="AZ30" s="10">
        <v>0</v>
      </c>
      <c r="BA30" s="10">
        <v>2</v>
      </c>
      <c r="BB30" s="10">
        <v>0</v>
      </c>
      <c r="BC30" s="10">
        <v>6.8000000000000005E-2</v>
      </c>
    </row>
    <row r="31" spans="1:55" ht="31.5" x14ac:dyDescent="0.25">
      <c r="A31" s="11" t="s">
        <v>97</v>
      </c>
      <c r="B31" s="40" t="s">
        <v>89</v>
      </c>
      <c r="C31" s="42" t="s">
        <v>90</v>
      </c>
      <c r="D31" s="10">
        <v>2.27</v>
      </c>
      <c r="E31" s="10">
        <f t="shared" si="18"/>
        <v>2.271551272</v>
      </c>
      <c r="F31" s="10">
        <f t="shared" si="18"/>
        <v>0.97</v>
      </c>
      <c r="G31" s="10">
        <f t="shared" si="18"/>
        <v>0.97149999600000003</v>
      </c>
      <c r="H31" s="10">
        <f t="shared" si="15"/>
        <v>0</v>
      </c>
      <c r="I31" s="10">
        <f t="shared" si="16"/>
        <v>0.330051276</v>
      </c>
      <c r="J31" s="10">
        <v>0.97</v>
      </c>
      <c r="K31" s="10">
        <v>0.97</v>
      </c>
      <c r="L31" s="10">
        <v>0</v>
      </c>
      <c r="M31" s="10">
        <v>0</v>
      </c>
      <c r="N31" s="10">
        <v>0</v>
      </c>
      <c r="O31" s="10">
        <f t="shared" si="10"/>
        <v>0.97149999600000003</v>
      </c>
      <c r="P31" s="10">
        <v>0</v>
      </c>
      <c r="Q31" s="10">
        <v>0.97149999600000003</v>
      </c>
      <c r="R31" s="10">
        <v>0</v>
      </c>
      <c r="S31" s="10">
        <v>0</v>
      </c>
      <c r="T31" s="10">
        <f t="shared" si="19"/>
        <v>0.330051276</v>
      </c>
      <c r="U31" s="10">
        <v>0</v>
      </c>
      <c r="V31" s="10">
        <v>0</v>
      </c>
      <c r="W31" s="10">
        <v>0</v>
      </c>
      <c r="X31" s="10">
        <v>0.330051276</v>
      </c>
      <c r="Y31" s="17">
        <v>0</v>
      </c>
      <c r="Z31" s="10">
        <v>0</v>
      </c>
      <c r="AA31" s="10">
        <v>0</v>
      </c>
      <c r="AB31" s="10">
        <v>0</v>
      </c>
      <c r="AC31" s="10">
        <v>0</v>
      </c>
      <c r="AD31" s="10" t="s">
        <v>91</v>
      </c>
      <c r="AE31" s="10">
        <f t="shared" si="20"/>
        <v>0</v>
      </c>
      <c r="AF31" s="10">
        <f t="shared" si="20"/>
        <v>0</v>
      </c>
      <c r="AG31" s="10">
        <f t="shared" si="20"/>
        <v>0</v>
      </c>
      <c r="AH31" s="10">
        <f t="shared" si="20"/>
        <v>0</v>
      </c>
      <c r="AI31" s="10">
        <f t="shared" si="20"/>
        <v>0</v>
      </c>
      <c r="AJ31" s="10">
        <f t="shared" si="13"/>
        <v>0</v>
      </c>
      <c r="AK31" s="10">
        <v>0</v>
      </c>
      <c r="AL31" s="10">
        <v>0</v>
      </c>
      <c r="AM31" s="10">
        <v>0</v>
      </c>
      <c r="AN31" s="10">
        <v>0</v>
      </c>
      <c r="AO31" s="10">
        <f t="shared" si="14"/>
        <v>0</v>
      </c>
      <c r="AP31" s="10">
        <v>0</v>
      </c>
      <c r="AQ31" s="10">
        <v>0</v>
      </c>
      <c r="AR31" s="10">
        <v>0</v>
      </c>
      <c r="AS31" s="10">
        <v>0</v>
      </c>
      <c r="AT31" s="10">
        <v>0</v>
      </c>
      <c r="AU31" s="10">
        <v>0</v>
      </c>
      <c r="AV31" s="10">
        <v>0</v>
      </c>
      <c r="AW31" s="10">
        <v>0</v>
      </c>
      <c r="AX31" s="10">
        <v>0</v>
      </c>
      <c r="AY31" s="10">
        <v>0</v>
      </c>
      <c r="AZ31" s="10">
        <v>0</v>
      </c>
      <c r="BA31" s="10">
        <v>0</v>
      </c>
      <c r="BB31" s="10">
        <v>0</v>
      </c>
      <c r="BC31" s="10">
        <v>0</v>
      </c>
    </row>
    <row r="32" spans="1:55" ht="31.5" x14ac:dyDescent="0.25">
      <c r="A32" s="11" t="s">
        <v>383</v>
      </c>
      <c r="B32" s="43" t="s">
        <v>335</v>
      </c>
      <c r="C32" s="37" t="s">
        <v>336</v>
      </c>
      <c r="D32" s="10">
        <v>0.18</v>
      </c>
      <c r="E32" s="10">
        <f t="shared" ref="E32:E33" si="21">J32+O32+T32+Y32</f>
        <v>0.2</v>
      </c>
      <c r="F32" s="10">
        <f t="shared" ref="F32:F33" si="22">K32+P32+U32+Z32</f>
        <v>0</v>
      </c>
      <c r="G32" s="10">
        <f t="shared" ref="G32:G33" si="23">L32+Q32+V32+AA32</f>
        <v>0.2</v>
      </c>
      <c r="H32" s="10">
        <f t="shared" si="15"/>
        <v>0</v>
      </c>
      <c r="I32" s="10">
        <f t="shared" si="16"/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f>SUM(Z32:AC32)</f>
        <v>0.2</v>
      </c>
      <c r="Z32" s="10">
        <v>0</v>
      </c>
      <c r="AA32" s="10">
        <v>0.2</v>
      </c>
      <c r="AB32" s="10">
        <v>0</v>
      </c>
      <c r="AC32" s="10">
        <v>0</v>
      </c>
      <c r="AD32" s="10">
        <v>0.15</v>
      </c>
      <c r="AE32" s="10">
        <f t="shared" ref="AE32:AE33" si="24">AJ32+AO32+AT32+AY32</f>
        <v>0.16640461000000001</v>
      </c>
      <c r="AF32" s="10">
        <f t="shared" ref="AF32:AF33" si="25">AK32+AP32+AU32+AZ32</f>
        <v>0</v>
      </c>
      <c r="AG32" s="10">
        <f t="shared" ref="AG32:AG33" si="26">AL32+AQ32+AV32+BA32</f>
        <v>0.17</v>
      </c>
      <c r="AH32" s="10">
        <f t="shared" ref="AH32:AH33" si="27">AM32+AR32+AW32+BB32</f>
        <v>0</v>
      </c>
      <c r="AI32" s="10">
        <f t="shared" ref="AI32:AI33" si="28">AN32+AS32+AX32+BC32</f>
        <v>0</v>
      </c>
      <c r="AJ32" s="10">
        <v>0</v>
      </c>
      <c r="AK32" s="10">
        <v>0</v>
      </c>
      <c r="AL32" s="10">
        <v>0</v>
      </c>
      <c r="AM32" s="10">
        <v>0</v>
      </c>
      <c r="AN32" s="10">
        <v>0</v>
      </c>
      <c r="AO32" s="10">
        <v>0</v>
      </c>
      <c r="AP32" s="10">
        <v>0</v>
      </c>
      <c r="AQ32" s="10">
        <v>0</v>
      </c>
      <c r="AR32" s="10">
        <v>0</v>
      </c>
      <c r="AS32" s="10">
        <v>0</v>
      </c>
      <c r="AT32" s="10">
        <v>0</v>
      </c>
      <c r="AU32" s="10">
        <v>0</v>
      </c>
      <c r="AV32" s="10">
        <v>0</v>
      </c>
      <c r="AW32" s="10">
        <v>0</v>
      </c>
      <c r="AX32" s="10">
        <v>0</v>
      </c>
      <c r="AY32" s="10">
        <v>0.16640461000000001</v>
      </c>
      <c r="AZ32" s="10">
        <v>0</v>
      </c>
      <c r="BA32" s="10">
        <v>0.17</v>
      </c>
      <c r="BB32" s="10">
        <v>0</v>
      </c>
      <c r="BC32" s="10">
        <v>0</v>
      </c>
    </row>
    <row r="33" spans="1:55" ht="47.25" x14ac:dyDescent="0.25">
      <c r="A33" s="11" t="s">
        <v>384</v>
      </c>
      <c r="B33" s="44" t="s">
        <v>337</v>
      </c>
      <c r="C33" s="39" t="s">
        <v>338</v>
      </c>
      <c r="D33" s="10">
        <v>14.93</v>
      </c>
      <c r="E33" s="10">
        <f t="shared" si="21"/>
        <v>0</v>
      </c>
      <c r="F33" s="10">
        <f t="shared" si="22"/>
        <v>0</v>
      </c>
      <c r="G33" s="10">
        <f t="shared" si="23"/>
        <v>0</v>
      </c>
      <c r="H33" s="10">
        <f t="shared" si="15"/>
        <v>0</v>
      </c>
      <c r="I33" s="10">
        <f t="shared" si="16"/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12.44</v>
      </c>
      <c r="AE33" s="10">
        <f t="shared" si="24"/>
        <v>0</v>
      </c>
      <c r="AF33" s="10">
        <f t="shared" si="25"/>
        <v>0</v>
      </c>
      <c r="AG33" s="10">
        <f t="shared" si="26"/>
        <v>0</v>
      </c>
      <c r="AH33" s="10">
        <f t="shared" si="27"/>
        <v>0</v>
      </c>
      <c r="AI33" s="10">
        <f t="shared" si="28"/>
        <v>0</v>
      </c>
      <c r="AJ33" s="10">
        <v>0</v>
      </c>
      <c r="AK33" s="10">
        <v>0</v>
      </c>
      <c r="AL33" s="10">
        <v>0</v>
      </c>
      <c r="AM33" s="10">
        <v>0</v>
      </c>
      <c r="AN33" s="10">
        <v>0</v>
      </c>
      <c r="AO33" s="10">
        <v>0</v>
      </c>
      <c r="AP33" s="10">
        <v>0</v>
      </c>
      <c r="AQ33" s="10">
        <v>0</v>
      </c>
      <c r="AR33" s="10">
        <v>0</v>
      </c>
      <c r="AS33" s="10">
        <v>0</v>
      </c>
      <c r="AT33" s="10">
        <v>0</v>
      </c>
      <c r="AU33" s="10">
        <v>0</v>
      </c>
      <c r="AV33" s="10">
        <v>0</v>
      </c>
      <c r="AW33" s="10">
        <v>0</v>
      </c>
      <c r="AX33" s="10">
        <v>0</v>
      </c>
      <c r="AY33" s="10">
        <v>0</v>
      </c>
      <c r="AZ33" s="10">
        <v>0</v>
      </c>
      <c r="BA33" s="10">
        <v>0</v>
      </c>
      <c r="BB33" s="10">
        <v>0</v>
      </c>
      <c r="BC33" s="10">
        <v>0</v>
      </c>
    </row>
    <row r="34" spans="1:55" ht="47.25" x14ac:dyDescent="0.25">
      <c r="A34" s="11" t="s">
        <v>385</v>
      </c>
      <c r="B34" s="36" t="s">
        <v>95</v>
      </c>
      <c r="C34" s="41" t="s">
        <v>96</v>
      </c>
      <c r="D34" s="10" t="s">
        <v>91</v>
      </c>
      <c r="E34" s="10">
        <f t="shared" si="18"/>
        <v>22.016910379999999</v>
      </c>
      <c r="F34" s="10">
        <f t="shared" si="18"/>
        <v>0</v>
      </c>
      <c r="G34" s="10">
        <f t="shared" si="18"/>
        <v>19.421249400000001</v>
      </c>
      <c r="H34" s="10">
        <f t="shared" si="15"/>
        <v>0</v>
      </c>
      <c r="I34" s="10">
        <f t="shared" si="16"/>
        <v>2.5956609799999999</v>
      </c>
      <c r="J34" s="10">
        <v>0.11</v>
      </c>
      <c r="K34" s="10">
        <v>0</v>
      </c>
      <c r="L34" s="10">
        <v>0</v>
      </c>
      <c r="M34" s="10">
        <v>0</v>
      </c>
      <c r="N34" s="10">
        <v>0.11</v>
      </c>
      <c r="O34" s="10">
        <f t="shared" si="10"/>
        <v>0</v>
      </c>
      <c r="P34" s="10">
        <v>0</v>
      </c>
      <c r="Q34" s="10">
        <v>0</v>
      </c>
      <c r="R34" s="10">
        <v>0</v>
      </c>
      <c r="S34" s="10">
        <v>0</v>
      </c>
      <c r="T34" s="10">
        <f t="shared" si="19"/>
        <v>21.906910379999999</v>
      </c>
      <c r="U34" s="10">
        <v>0</v>
      </c>
      <c r="V34" s="10">
        <v>19.421249400000001</v>
      </c>
      <c r="W34" s="10">
        <v>0</v>
      </c>
      <c r="X34" s="10">
        <v>2.48566098</v>
      </c>
      <c r="Y34" s="17">
        <v>0</v>
      </c>
      <c r="Z34" s="10">
        <v>0</v>
      </c>
      <c r="AA34" s="10">
        <v>0</v>
      </c>
      <c r="AB34" s="10">
        <v>0</v>
      </c>
      <c r="AC34" s="10">
        <v>0</v>
      </c>
      <c r="AD34" s="10" t="s">
        <v>91</v>
      </c>
      <c r="AE34" s="10">
        <f t="shared" si="12"/>
        <v>0</v>
      </c>
      <c r="AF34" s="10">
        <f t="shared" si="12"/>
        <v>0</v>
      </c>
      <c r="AG34" s="10">
        <f t="shared" si="12"/>
        <v>0</v>
      </c>
      <c r="AH34" s="10">
        <f t="shared" si="12"/>
        <v>0</v>
      </c>
      <c r="AI34" s="10">
        <f t="shared" si="12"/>
        <v>0</v>
      </c>
      <c r="AJ34" s="10">
        <f t="shared" si="13"/>
        <v>0</v>
      </c>
      <c r="AK34" s="10">
        <v>0</v>
      </c>
      <c r="AL34" s="10">
        <v>0</v>
      </c>
      <c r="AM34" s="10">
        <v>0</v>
      </c>
      <c r="AN34" s="10">
        <v>0</v>
      </c>
      <c r="AO34" s="10">
        <f t="shared" si="14"/>
        <v>0</v>
      </c>
      <c r="AP34" s="10">
        <v>0</v>
      </c>
      <c r="AQ34" s="10">
        <v>0</v>
      </c>
      <c r="AR34" s="10">
        <v>0</v>
      </c>
      <c r="AS34" s="10">
        <v>0</v>
      </c>
      <c r="AT34" s="10">
        <f>SUM(AU34:AX34)</f>
        <v>0</v>
      </c>
      <c r="AU34" s="10">
        <v>0</v>
      </c>
      <c r="AV34" s="10">
        <v>0</v>
      </c>
      <c r="AW34" s="10">
        <v>0</v>
      </c>
      <c r="AX34" s="10">
        <v>0</v>
      </c>
      <c r="AY34" s="10">
        <v>0</v>
      </c>
      <c r="AZ34" s="10">
        <v>0</v>
      </c>
      <c r="BA34" s="10">
        <v>0</v>
      </c>
      <c r="BB34" s="10">
        <v>0</v>
      </c>
      <c r="BC34" s="10">
        <v>0</v>
      </c>
    </row>
    <row r="35" spans="1:55" ht="47.25" x14ac:dyDescent="0.25">
      <c r="A35" s="11" t="s">
        <v>386</v>
      </c>
      <c r="B35" s="36" t="s">
        <v>227</v>
      </c>
      <c r="C35" s="41" t="s">
        <v>228</v>
      </c>
      <c r="D35" s="10">
        <v>20.28</v>
      </c>
      <c r="E35" s="10">
        <f t="shared" si="18"/>
        <v>20.880800000000001</v>
      </c>
      <c r="F35" s="10">
        <f t="shared" si="18"/>
        <v>1.1377999999999999</v>
      </c>
      <c r="G35" s="10">
        <f t="shared" si="18"/>
        <v>19.14</v>
      </c>
      <c r="H35" s="10">
        <f t="shared" si="15"/>
        <v>0</v>
      </c>
      <c r="I35" s="10">
        <f t="shared" si="16"/>
        <v>0.60299999999999998</v>
      </c>
      <c r="J35" s="10">
        <v>10.14</v>
      </c>
      <c r="K35" s="10">
        <v>0</v>
      </c>
      <c r="L35" s="10">
        <v>10.14</v>
      </c>
      <c r="M35" s="10">
        <v>0</v>
      </c>
      <c r="N35" s="10">
        <v>0</v>
      </c>
      <c r="O35" s="10">
        <f t="shared" si="10"/>
        <v>0</v>
      </c>
      <c r="P35" s="10">
        <v>0</v>
      </c>
      <c r="Q35" s="10">
        <v>0</v>
      </c>
      <c r="R35" s="10">
        <v>0</v>
      </c>
      <c r="S35" s="10">
        <v>0</v>
      </c>
      <c r="T35" s="10">
        <f t="shared" si="19"/>
        <v>0</v>
      </c>
      <c r="U35" s="10">
        <v>0</v>
      </c>
      <c r="V35" s="10">
        <v>0</v>
      </c>
      <c r="W35" s="10">
        <v>0</v>
      </c>
      <c r="X35" s="10">
        <v>0</v>
      </c>
      <c r="Y35" s="17">
        <f>SUM(Z35:AC35)</f>
        <v>10.7408</v>
      </c>
      <c r="Z35" s="10">
        <v>1.1377999999999999</v>
      </c>
      <c r="AA35" s="10">
        <v>9</v>
      </c>
      <c r="AB35" s="10">
        <v>0</v>
      </c>
      <c r="AC35" s="10">
        <v>0.60299999999999998</v>
      </c>
      <c r="AD35" s="20">
        <v>16.899999999999999</v>
      </c>
      <c r="AE35" s="10">
        <f t="shared" si="12"/>
        <v>17.40362</v>
      </c>
      <c r="AF35" s="10">
        <f t="shared" si="12"/>
        <v>1.1499999999999999</v>
      </c>
      <c r="AG35" s="10">
        <f t="shared" si="12"/>
        <v>15.75</v>
      </c>
      <c r="AH35" s="10">
        <f t="shared" si="12"/>
        <v>0</v>
      </c>
      <c r="AI35" s="10">
        <f t="shared" si="12"/>
        <v>0.5</v>
      </c>
      <c r="AJ35" s="10">
        <f t="shared" si="13"/>
        <v>0</v>
      </c>
      <c r="AK35" s="10">
        <v>0</v>
      </c>
      <c r="AL35" s="10">
        <v>0</v>
      </c>
      <c r="AM35" s="10">
        <v>0</v>
      </c>
      <c r="AN35" s="10">
        <v>0</v>
      </c>
      <c r="AO35" s="10">
        <f t="shared" si="14"/>
        <v>0</v>
      </c>
      <c r="AP35" s="10">
        <v>0</v>
      </c>
      <c r="AQ35" s="10">
        <v>0</v>
      </c>
      <c r="AR35" s="10">
        <v>0</v>
      </c>
      <c r="AS35" s="10">
        <v>0</v>
      </c>
      <c r="AT35" s="10">
        <f>SUM(AU35:AX35)</f>
        <v>0</v>
      </c>
      <c r="AU35" s="10">
        <v>0</v>
      </c>
      <c r="AV35" s="10">
        <v>0</v>
      </c>
      <c r="AW35" s="10">
        <v>0</v>
      </c>
      <c r="AX35" s="10">
        <v>0</v>
      </c>
      <c r="AY35" s="10">
        <v>17.40362</v>
      </c>
      <c r="AZ35" s="10">
        <v>1.1499999999999999</v>
      </c>
      <c r="BA35" s="10">
        <v>15.75</v>
      </c>
      <c r="BB35" s="10">
        <v>0</v>
      </c>
      <c r="BC35" s="10">
        <v>0.5</v>
      </c>
    </row>
    <row r="36" spans="1:55" ht="31.5" x14ac:dyDescent="0.25">
      <c r="A36" s="11" t="s">
        <v>98</v>
      </c>
      <c r="B36" s="64" t="s">
        <v>99</v>
      </c>
      <c r="C36" s="65" t="s">
        <v>77</v>
      </c>
      <c r="D36" s="16">
        <f t="shared" ref="D36:AI36" si="29">D37+D53+D98</f>
        <v>132.72368000000003</v>
      </c>
      <c r="E36" s="16">
        <f t="shared" si="29"/>
        <v>87.680947027999991</v>
      </c>
      <c r="F36" s="16">
        <f t="shared" si="29"/>
        <v>6.0112523079999995</v>
      </c>
      <c r="G36" s="16">
        <f t="shared" si="29"/>
        <v>76.897363008000013</v>
      </c>
      <c r="H36" s="16">
        <f t="shared" si="29"/>
        <v>0</v>
      </c>
      <c r="I36" s="16">
        <f t="shared" si="29"/>
        <v>4.7742063759999995</v>
      </c>
      <c r="J36" s="16">
        <f t="shared" si="29"/>
        <v>28.796448655999995</v>
      </c>
      <c r="K36" s="16">
        <f t="shared" si="29"/>
        <v>1.2528760000000001</v>
      </c>
      <c r="L36" s="16">
        <f t="shared" si="29"/>
        <v>26.450906119999999</v>
      </c>
      <c r="M36" s="16">
        <f t="shared" si="29"/>
        <v>0</v>
      </c>
      <c r="N36" s="16">
        <f t="shared" si="29"/>
        <v>1.1057412</v>
      </c>
      <c r="O36" s="16">
        <f t="shared" si="29"/>
        <v>22.923581603999999</v>
      </c>
      <c r="P36" s="16">
        <f t="shared" si="29"/>
        <v>1.7416824480000002</v>
      </c>
      <c r="Q36" s="16">
        <f t="shared" si="29"/>
        <v>20.990166300000002</v>
      </c>
      <c r="R36" s="16">
        <f t="shared" si="29"/>
        <v>0</v>
      </c>
      <c r="S36" s="16">
        <f t="shared" si="29"/>
        <v>0.19173285600000001</v>
      </c>
      <c r="T36" s="16">
        <f t="shared" si="29"/>
        <v>18.953916767999996</v>
      </c>
      <c r="U36" s="16">
        <f t="shared" si="29"/>
        <v>2.6098938599999997</v>
      </c>
      <c r="V36" s="16">
        <f t="shared" si="29"/>
        <v>15.183690587999997</v>
      </c>
      <c r="W36" s="16">
        <f t="shared" si="29"/>
        <v>0</v>
      </c>
      <c r="X36" s="16">
        <f t="shared" si="29"/>
        <v>1.16033232</v>
      </c>
      <c r="Y36" s="16">
        <f t="shared" si="29"/>
        <v>16.995000000000001</v>
      </c>
      <c r="Z36" s="16">
        <f t="shared" si="29"/>
        <v>0.40679999999999999</v>
      </c>
      <c r="AA36" s="16">
        <f t="shared" si="29"/>
        <v>14.272600000000001</v>
      </c>
      <c r="AB36" s="16">
        <f t="shared" si="29"/>
        <v>0</v>
      </c>
      <c r="AC36" s="16">
        <f t="shared" si="29"/>
        <v>2.3164000000000002</v>
      </c>
      <c r="AD36" s="16">
        <f t="shared" si="29"/>
        <v>110.258</v>
      </c>
      <c r="AE36" s="16">
        <f t="shared" si="29"/>
        <v>67.521845079999991</v>
      </c>
      <c r="AF36" s="16">
        <f t="shared" si="29"/>
        <v>5.0549305799999997</v>
      </c>
      <c r="AG36" s="16">
        <f t="shared" si="29"/>
        <v>59.262505679999997</v>
      </c>
      <c r="AH36" s="16">
        <f t="shared" si="29"/>
        <v>0</v>
      </c>
      <c r="AI36" s="16">
        <f t="shared" si="29"/>
        <v>3.19832888</v>
      </c>
      <c r="AJ36" s="16">
        <f>SUM(AK36:AN36)</f>
        <v>14.507300649999999</v>
      </c>
      <c r="AK36" s="16">
        <f>AK37+AK53+AK98</f>
        <v>1.00628143</v>
      </c>
      <c r="AL36" s="16">
        <f>AL37+AL53+AL98</f>
        <v>13.39101922</v>
      </c>
      <c r="AM36" s="16">
        <f>AM37+AM53+AM98</f>
        <v>0</v>
      </c>
      <c r="AN36" s="16">
        <f>AN37+AN53+AN98</f>
        <v>0.11</v>
      </c>
      <c r="AO36" s="16">
        <f>SUM(AP36:AS36)</f>
        <v>8.91535309</v>
      </c>
      <c r="AP36" s="16">
        <f>AP37+AP53+AP98</f>
        <v>1.4514020400000001</v>
      </c>
      <c r="AQ36" s="16">
        <f>AQ37+AQ53+AQ98</f>
        <v>7.1370712300000001</v>
      </c>
      <c r="AR36" s="16">
        <f>AR37+AR53+AR98</f>
        <v>0</v>
      </c>
      <c r="AS36" s="16">
        <f>AS37+AS53+AS98</f>
        <v>0.32687982000000004</v>
      </c>
      <c r="AT36" s="16">
        <f>SUM(AU36:AX36)</f>
        <v>34.607111399999994</v>
      </c>
      <c r="AU36" s="16">
        <f>AU37+AU53+AU98</f>
        <v>2.4372471099999999</v>
      </c>
      <c r="AV36" s="16">
        <f>AV37+AV53+AV98</f>
        <v>31.335415229999995</v>
      </c>
      <c r="AW36" s="16">
        <f t="shared" ref="AW36:AY36" si="30">AW37+AW53+AW98</f>
        <v>0</v>
      </c>
      <c r="AX36" s="16">
        <f t="shared" si="30"/>
        <v>0.83444906000000008</v>
      </c>
      <c r="AY36" s="16">
        <f t="shared" si="30"/>
        <v>9.4944044299999995</v>
      </c>
      <c r="AZ36" s="16">
        <f t="shared" ref="AZ36" si="31">AZ37+AZ53+AZ98</f>
        <v>0.16</v>
      </c>
      <c r="BA36" s="16">
        <f t="shared" ref="BA36" si="32">BA37+BA53+BA98</f>
        <v>7.399</v>
      </c>
      <c r="BB36" s="16">
        <f t="shared" ref="BB36" si="33">BB37+BB53+BB98</f>
        <v>0</v>
      </c>
      <c r="BC36" s="16">
        <f t="shared" ref="BC36" si="34">BC37+BC53+BC98</f>
        <v>1.927</v>
      </c>
    </row>
    <row r="37" spans="1:55" ht="63" x14ac:dyDescent="0.25">
      <c r="A37" s="66" t="s">
        <v>100</v>
      </c>
      <c r="B37" s="67" t="s">
        <v>101</v>
      </c>
      <c r="C37" s="68" t="s">
        <v>77</v>
      </c>
      <c r="D37" s="69">
        <f t="shared" ref="D37:AI37" si="35">D38+D51</f>
        <v>32.039999999999992</v>
      </c>
      <c r="E37" s="69">
        <f t="shared" si="35"/>
        <v>10.994661984</v>
      </c>
      <c r="F37" s="69">
        <f t="shared" si="35"/>
        <v>1.6869144080000003</v>
      </c>
      <c r="G37" s="69">
        <f t="shared" si="35"/>
        <v>9.1377475760000006</v>
      </c>
      <c r="H37" s="69">
        <f t="shared" si="35"/>
        <v>0</v>
      </c>
      <c r="I37" s="69">
        <f t="shared" si="35"/>
        <v>0.17</v>
      </c>
      <c r="J37" s="69">
        <f t="shared" si="35"/>
        <v>0.97</v>
      </c>
      <c r="K37" s="69">
        <f t="shared" si="35"/>
        <v>0.24199999999999999</v>
      </c>
      <c r="L37" s="69">
        <f t="shared" si="35"/>
        <v>0.73</v>
      </c>
      <c r="M37" s="69">
        <f t="shared" si="35"/>
        <v>0</v>
      </c>
      <c r="N37" s="69">
        <f t="shared" si="35"/>
        <v>0</v>
      </c>
      <c r="O37" s="69">
        <f t="shared" si="35"/>
        <v>3.0660810120000002</v>
      </c>
      <c r="P37" s="69">
        <f t="shared" si="35"/>
        <v>1.379424744</v>
      </c>
      <c r="Q37" s="69">
        <f t="shared" si="35"/>
        <v>1.6866562679999999</v>
      </c>
      <c r="R37" s="69">
        <f t="shared" si="35"/>
        <v>0</v>
      </c>
      <c r="S37" s="69">
        <f t="shared" si="35"/>
        <v>0</v>
      </c>
      <c r="T37" s="69">
        <f t="shared" si="35"/>
        <v>4.5865809720000001</v>
      </c>
      <c r="U37" s="69">
        <f t="shared" si="35"/>
        <v>6.5489664000000003E-2</v>
      </c>
      <c r="V37" s="69">
        <f t="shared" si="35"/>
        <v>4.5210913079999999</v>
      </c>
      <c r="W37" s="69">
        <f t="shared" si="35"/>
        <v>0</v>
      </c>
      <c r="X37" s="69">
        <f t="shared" si="35"/>
        <v>0</v>
      </c>
      <c r="Y37" s="69">
        <f t="shared" si="35"/>
        <v>2.36</v>
      </c>
      <c r="Z37" s="69">
        <f t="shared" si="35"/>
        <v>0</v>
      </c>
      <c r="AA37" s="69">
        <f t="shared" si="35"/>
        <v>2.2000000000000002</v>
      </c>
      <c r="AB37" s="69">
        <f t="shared" si="35"/>
        <v>0</v>
      </c>
      <c r="AC37" s="69">
        <f t="shared" si="35"/>
        <v>0.17</v>
      </c>
      <c r="AD37" s="69">
        <f t="shared" si="35"/>
        <v>29.230000000000004</v>
      </c>
      <c r="AE37" s="69">
        <f t="shared" si="35"/>
        <v>10.65820152</v>
      </c>
      <c r="AF37" s="69">
        <f t="shared" si="35"/>
        <v>1.5035642300000001</v>
      </c>
      <c r="AG37" s="69">
        <f t="shared" si="35"/>
        <v>8.9717252500000022</v>
      </c>
      <c r="AH37" s="69">
        <f t="shared" si="35"/>
        <v>0</v>
      </c>
      <c r="AI37" s="69">
        <f t="shared" si="35"/>
        <v>0.18307874000000002</v>
      </c>
      <c r="AJ37" s="69">
        <f t="shared" ref="AJ37:BC37" si="36">AJ38+AJ51</f>
        <v>0.82247599999999998</v>
      </c>
      <c r="AK37" s="69">
        <f t="shared" si="36"/>
        <v>0.21880000000000002</v>
      </c>
      <c r="AL37" s="69">
        <f t="shared" si="36"/>
        <v>0.60367599999999999</v>
      </c>
      <c r="AM37" s="69">
        <f t="shared" si="36"/>
        <v>0</v>
      </c>
      <c r="AN37" s="69">
        <f t="shared" si="36"/>
        <v>0</v>
      </c>
      <c r="AO37" s="69">
        <f t="shared" si="36"/>
        <v>2.5550675099999998</v>
      </c>
      <c r="AP37" s="69">
        <f t="shared" si="36"/>
        <v>1.1495206200000001</v>
      </c>
      <c r="AQ37" s="69">
        <f t="shared" si="36"/>
        <v>1.4055468900000001</v>
      </c>
      <c r="AR37" s="69">
        <f t="shared" si="36"/>
        <v>0</v>
      </c>
      <c r="AS37" s="69">
        <f t="shared" si="36"/>
        <v>0</v>
      </c>
      <c r="AT37" s="69">
        <f t="shared" si="36"/>
        <v>5.3108247100000003</v>
      </c>
      <c r="AU37" s="69">
        <f t="shared" si="36"/>
        <v>0.13524360999999999</v>
      </c>
      <c r="AV37" s="69">
        <f t="shared" si="36"/>
        <v>5.132502360000001</v>
      </c>
      <c r="AW37" s="69">
        <f t="shared" si="36"/>
        <v>0</v>
      </c>
      <c r="AX37" s="69">
        <f t="shared" si="36"/>
        <v>4.3078739999999997E-2</v>
      </c>
      <c r="AY37" s="69">
        <f t="shared" si="36"/>
        <v>1.9698333000000003</v>
      </c>
      <c r="AZ37" s="69">
        <f t="shared" si="36"/>
        <v>0</v>
      </c>
      <c r="BA37" s="69">
        <f t="shared" si="36"/>
        <v>1.83</v>
      </c>
      <c r="BB37" s="69">
        <f t="shared" si="36"/>
        <v>0</v>
      </c>
      <c r="BC37" s="69">
        <f t="shared" si="36"/>
        <v>0.14000000000000001</v>
      </c>
    </row>
    <row r="38" spans="1:55" ht="31.5" x14ac:dyDescent="0.25">
      <c r="A38" s="66" t="s">
        <v>102</v>
      </c>
      <c r="B38" s="67" t="s">
        <v>103</v>
      </c>
      <c r="C38" s="68" t="s">
        <v>77</v>
      </c>
      <c r="D38" s="69">
        <f t="shared" ref="D38:AI38" si="37">SUM(D39:D50)</f>
        <v>27.669999999999995</v>
      </c>
      <c r="E38" s="69">
        <f>SUM(E39:E50)</f>
        <v>10.994661984</v>
      </c>
      <c r="F38" s="69">
        <f t="shared" si="37"/>
        <v>1.6869144080000003</v>
      </c>
      <c r="G38" s="69">
        <f t="shared" si="37"/>
        <v>9.1377475760000006</v>
      </c>
      <c r="H38" s="69">
        <f t="shared" si="37"/>
        <v>0</v>
      </c>
      <c r="I38" s="69">
        <f t="shared" si="37"/>
        <v>0.17</v>
      </c>
      <c r="J38" s="69">
        <f t="shared" si="37"/>
        <v>0.97</v>
      </c>
      <c r="K38" s="69">
        <f t="shared" si="37"/>
        <v>0.24199999999999999</v>
      </c>
      <c r="L38" s="69">
        <f t="shared" si="37"/>
        <v>0.73</v>
      </c>
      <c r="M38" s="69">
        <f t="shared" si="37"/>
        <v>0</v>
      </c>
      <c r="N38" s="69">
        <f t="shared" si="37"/>
        <v>0</v>
      </c>
      <c r="O38" s="69">
        <f t="shared" si="37"/>
        <v>3.0660810120000002</v>
      </c>
      <c r="P38" s="69">
        <f t="shared" si="37"/>
        <v>1.379424744</v>
      </c>
      <c r="Q38" s="69">
        <f t="shared" si="37"/>
        <v>1.6866562679999999</v>
      </c>
      <c r="R38" s="69">
        <f t="shared" si="37"/>
        <v>0</v>
      </c>
      <c r="S38" s="69">
        <f t="shared" si="37"/>
        <v>0</v>
      </c>
      <c r="T38" s="69">
        <f t="shared" si="37"/>
        <v>4.5865809720000001</v>
      </c>
      <c r="U38" s="69">
        <f t="shared" si="37"/>
        <v>6.5489664000000003E-2</v>
      </c>
      <c r="V38" s="69">
        <f t="shared" si="37"/>
        <v>4.5210913079999999</v>
      </c>
      <c r="W38" s="69">
        <f t="shared" si="37"/>
        <v>0</v>
      </c>
      <c r="X38" s="69">
        <f t="shared" si="37"/>
        <v>0</v>
      </c>
      <c r="Y38" s="69">
        <f t="shared" si="37"/>
        <v>2.36</v>
      </c>
      <c r="Z38" s="69">
        <f t="shared" si="37"/>
        <v>0</v>
      </c>
      <c r="AA38" s="69">
        <f t="shared" si="37"/>
        <v>2.2000000000000002</v>
      </c>
      <c r="AB38" s="69">
        <f t="shared" si="37"/>
        <v>0</v>
      </c>
      <c r="AC38" s="69">
        <f t="shared" si="37"/>
        <v>0.17</v>
      </c>
      <c r="AD38" s="69">
        <f t="shared" si="37"/>
        <v>25.590000000000003</v>
      </c>
      <c r="AE38" s="69">
        <f t="shared" si="37"/>
        <v>10.65820152</v>
      </c>
      <c r="AF38" s="69">
        <f t="shared" si="37"/>
        <v>1.5035642300000001</v>
      </c>
      <c r="AG38" s="69">
        <f t="shared" si="37"/>
        <v>8.9717252500000022</v>
      </c>
      <c r="AH38" s="69">
        <f t="shared" si="37"/>
        <v>0</v>
      </c>
      <c r="AI38" s="69">
        <f t="shared" si="37"/>
        <v>0.18307874000000002</v>
      </c>
      <c r="AJ38" s="69">
        <f t="shared" ref="AJ38:BC38" si="38">SUM(AJ39:AJ50)</f>
        <v>0.82247599999999998</v>
      </c>
      <c r="AK38" s="69">
        <f t="shared" si="38"/>
        <v>0.21880000000000002</v>
      </c>
      <c r="AL38" s="69">
        <f t="shared" si="38"/>
        <v>0.60367599999999999</v>
      </c>
      <c r="AM38" s="69">
        <f t="shared" si="38"/>
        <v>0</v>
      </c>
      <c r="AN38" s="69">
        <f t="shared" si="38"/>
        <v>0</v>
      </c>
      <c r="AO38" s="69">
        <f t="shared" si="38"/>
        <v>2.5550675099999998</v>
      </c>
      <c r="AP38" s="69">
        <f t="shared" si="38"/>
        <v>1.1495206200000001</v>
      </c>
      <c r="AQ38" s="69">
        <f t="shared" si="38"/>
        <v>1.4055468900000001</v>
      </c>
      <c r="AR38" s="69">
        <f t="shared" si="38"/>
        <v>0</v>
      </c>
      <c r="AS38" s="69">
        <f t="shared" si="38"/>
        <v>0</v>
      </c>
      <c r="AT38" s="69">
        <f t="shared" si="38"/>
        <v>5.3108247100000003</v>
      </c>
      <c r="AU38" s="69">
        <f t="shared" si="38"/>
        <v>0.13524360999999999</v>
      </c>
      <c r="AV38" s="69">
        <f t="shared" si="38"/>
        <v>5.132502360000001</v>
      </c>
      <c r="AW38" s="69">
        <f t="shared" si="38"/>
        <v>0</v>
      </c>
      <c r="AX38" s="69">
        <f t="shared" si="38"/>
        <v>4.3078739999999997E-2</v>
      </c>
      <c r="AY38" s="69">
        <f t="shared" si="38"/>
        <v>1.9698333000000003</v>
      </c>
      <c r="AZ38" s="69">
        <f t="shared" si="38"/>
        <v>0</v>
      </c>
      <c r="BA38" s="69">
        <f t="shared" si="38"/>
        <v>1.83</v>
      </c>
      <c r="BB38" s="69">
        <f t="shared" si="38"/>
        <v>0</v>
      </c>
      <c r="BC38" s="69">
        <f t="shared" si="38"/>
        <v>0.14000000000000001</v>
      </c>
    </row>
    <row r="39" spans="1:55" s="13" customFormat="1" x14ac:dyDescent="0.25">
      <c r="A39" s="12" t="s">
        <v>104</v>
      </c>
      <c r="B39" s="40" t="s">
        <v>198</v>
      </c>
      <c r="C39" s="45" t="s">
        <v>199</v>
      </c>
      <c r="D39" s="19">
        <v>11.065</v>
      </c>
      <c r="E39" s="10">
        <f>SUM(F39:I39)</f>
        <v>0</v>
      </c>
      <c r="F39" s="10">
        <f>K39+P39+U39+Z39</f>
        <v>0</v>
      </c>
      <c r="G39" s="10">
        <f>L39+Q39+V39+AA39</f>
        <v>0</v>
      </c>
      <c r="H39" s="10">
        <f>M39+R39+W39+AB39</f>
        <v>0</v>
      </c>
      <c r="I39" s="10">
        <f>N39+S39+X39+AC39</f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f t="shared" ref="O39:O50" si="39">SUM(P39:S39)</f>
        <v>0</v>
      </c>
      <c r="P39" s="10">
        <v>0</v>
      </c>
      <c r="Q39" s="10">
        <v>0</v>
      </c>
      <c r="R39" s="10">
        <v>0</v>
      </c>
      <c r="S39" s="10">
        <v>0</v>
      </c>
      <c r="T39" s="10">
        <f t="shared" ref="T39:T50" si="40">SUM(U39:X39)</f>
        <v>0</v>
      </c>
      <c r="U39" s="10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20">
        <v>9.2200000000000006</v>
      </c>
      <c r="AE39" s="10">
        <f t="shared" ref="AE39:AI50" si="41">AJ39+AO39+AT39+AY39</f>
        <v>0</v>
      </c>
      <c r="AF39" s="10">
        <f t="shared" si="41"/>
        <v>0</v>
      </c>
      <c r="AG39" s="10">
        <f t="shared" si="41"/>
        <v>0</v>
      </c>
      <c r="AH39" s="10">
        <f t="shared" si="41"/>
        <v>0</v>
      </c>
      <c r="AI39" s="10">
        <f t="shared" si="41"/>
        <v>0</v>
      </c>
      <c r="AJ39" s="10">
        <f>SUM(AK39:AN39)</f>
        <v>0</v>
      </c>
      <c r="AK39" s="10">
        <v>0</v>
      </c>
      <c r="AL39" s="10">
        <v>0</v>
      </c>
      <c r="AM39" s="10">
        <v>0</v>
      </c>
      <c r="AN39" s="10">
        <v>0</v>
      </c>
      <c r="AO39" s="10">
        <f t="shared" ref="AO39:AO50" si="42">SUM(AP39:AS39)</f>
        <v>0</v>
      </c>
      <c r="AP39" s="10">
        <v>0</v>
      </c>
      <c r="AQ39" s="10">
        <v>0</v>
      </c>
      <c r="AR39" s="10">
        <v>0</v>
      </c>
      <c r="AS39" s="10">
        <v>0</v>
      </c>
      <c r="AT39" s="10">
        <f t="shared" ref="AT39:AT50" si="43">SUM(AU39:AX39)</f>
        <v>0</v>
      </c>
      <c r="AU39" s="10">
        <v>0</v>
      </c>
      <c r="AV39" s="10">
        <v>0</v>
      </c>
      <c r="AW39" s="10">
        <v>0</v>
      </c>
      <c r="AX39" s="10">
        <v>0</v>
      </c>
      <c r="AY39" s="10">
        <v>0</v>
      </c>
      <c r="AZ39" s="10">
        <v>0</v>
      </c>
      <c r="BA39" s="10">
        <v>0</v>
      </c>
      <c r="BB39" s="10">
        <v>0</v>
      </c>
      <c r="BC39" s="10">
        <v>0</v>
      </c>
    </row>
    <row r="40" spans="1:55" s="13" customFormat="1" ht="94.5" x14ac:dyDescent="0.25">
      <c r="A40" s="12" t="s">
        <v>387</v>
      </c>
      <c r="B40" s="38" t="s">
        <v>316</v>
      </c>
      <c r="C40" s="12" t="s">
        <v>317</v>
      </c>
      <c r="D40" s="10">
        <v>4.8250000000000002</v>
      </c>
      <c r="E40" s="10">
        <f t="shared" ref="E40:E50" si="44">SUM(F40:I40)</f>
        <v>0</v>
      </c>
      <c r="F40" s="10">
        <f t="shared" ref="F40:F50" si="45">K40+P40+U40+Z40</f>
        <v>0</v>
      </c>
      <c r="G40" s="10">
        <f t="shared" ref="G40:G50" si="46">L40+Q40+V40+AA40</f>
        <v>0</v>
      </c>
      <c r="H40" s="10">
        <f t="shared" ref="H40:H50" si="47">M40+R40+W40+AB40</f>
        <v>0</v>
      </c>
      <c r="I40" s="10">
        <f t="shared" ref="I40:I50" si="48">N40+S40+X40+AC40</f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f t="shared" si="39"/>
        <v>0</v>
      </c>
      <c r="P40" s="10">
        <v>0</v>
      </c>
      <c r="Q40" s="10">
        <v>0</v>
      </c>
      <c r="R40" s="10">
        <v>0</v>
      </c>
      <c r="S40" s="10">
        <v>0</v>
      </c>
      <c r="T40" s="10">
        <f t="shared" si="40"/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6.5449999999999999</v>
      </c>
      <c r="AE40" s="10">
        <f t="shared" si="41"/>
        <v>1.4886742599999998</v>
      </c>
      <c r="AF40" s="10">
        <f t="shared" si="41"/>
        <v>8.0668889999999993E-2</v>
      </c>
      <c r="AG40" s="10">
        <f t="shared" si="41"/>
        <v>1.36492663</v>
      </c>
      <c r="AH40" s="10">
        <f t="shared" si="41"/>
        <v>0</v>
      </c>
      <c r="AI40" s="10">
        <f t="shared" si="41"/>
        <v>4.3078739999999997E-2</v>
      </c>
      <c r="AJ40" s="10">
        <f t="shared" ref="AJ40:AJ43" si="49">SUM(AK40:AN40)</f>
        <v>0</v>
      </c>
      <c r="AK40" s="10">
        <v>0</v>
      </c>
      <c r="AL40" s="10">
        <v>0</v>
      </c>
      <c r="AM40" s="10">
        <v>0</v>
      </c>
      <c r="AN40" s="10">
        <v>0</v>
      </c>
      <c r="AO40" s="10">
        <f t="shared" si="42"/>
        <v>0</v>
      </c>
      <c r="AP40" s="10">
        <v>0</v>
      </c>
      <c r="AQ40" s="10">
        <v>0</v>
      </c>
      <c r="AR40" s="10">
        <v>0</v>
      </c>
      <c r="AS40" s="10">
        <v>0</v>
      </c>
      <c r="AT40" s="10">
        <f t="shared" si="43"/>
        <v>1.4886742599999998</v>
      </c>
      <c r="AU40" s="10">
        <v>8.0668889999999993E-2</v>
      </c>
      <c r="AV40" s="10">
        <v>1.36492663</v>
      </c>
      <c r="AW40" s="10">
        <v>0</v>
      </c>
      <c r="AX40" s="10">
        <v>4.3078739999999997E-2</v>
      </c>
      <c r="AY40" s="10">
        <v>0</v>
      </c>
      <c r="AZ40" s="10">
        <v>0</v>
      </c>
      <c r="BA40" s="10">
        <v>0</v>
      </c>
      <c r="BB40" s="10">
        <v>0</v>
      </c>
      <c r="BC40" s="10">
        <v>0</v>
      </c>
    </row>
    <row r="41" spans="1:55" s="13" customFormat="1" ht="31.5" x14ac:dyDescent="0.25">
      <c r="A41" s="12" t="s">
        <v>105</v>
      </c>
      <c r="B41" s="38" t="s">
        <v>318</v>
      </c>
      <c r="C41" s="12" t="s">
        <v>319</v>
      </c>
      <c r="D41" s="10" t="s">
        <v>91</v>
      </c>
      <c r="E41" s="10">
        <f t="shared" si="44"/>
        <v>3.4453810320000002</v>
      </c>
      <c r="F41" s="10">
        <f t="shared" si="45"/>
        <v>0</v>
      </c>
      <c r="G41" s="10">
        <f t="shared" si="46"/>
        <v>3.4453810320000002</v>
      </c>
      <c r="H41" s="10">
        <f t="shared" si="47"/>
        <v>0</v>
      </c>
      <c r="I41" s="10">
        <f t="shared" si="48"/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f t="shared" si="39"/>
        <v>0</v>
      </c>
      <c r="P41" s="10">
        <v>0</v>
      </c>
      <c r="Q41" s="10">
        <v>0</v>
      </c>
      <c r="R41" s="10">
        <v>0</v>
      </c>
      <c r="S41" s="10">
        <v>0</v>
      </c>
      <c r="T41" s="10">
        <f t="shared" si="40"/>
        <v>3.4453810320000002</v>
      </c>
      <c r="U41" s="10">
        <v>0</v>
      </c>
      <c r="V41" s="10">
        <v>3.4453810320000002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 t="s">
        <v>91</v>
      </c>
      <c r="AE41" s="10">
        <f t="shared" si="41"/>
        <v>2.8711508600000002</v>
      </c>
      <c r="AF41" s="10">
        <f t="shared" si="41"/>
        <v>0</v>
      </c>
      <c r="AG41" s="10">
        <f t="shared" si="41"/>
        <v>2.8711508600000002</v>
      </c>
      <c r="AH41" s="10">
        <f t="shared" si="41"/>
        <v>0</v>
      </c>
      <c r="AI41" s="10">
        <f t="shared" si="41"/>
        <v>0</v>
      </c>
      <c r="AJ41" s="10">
        <f t="shared" si="49"/>
        <v>0</v>
      </c>
      <c r="AK41" s="10">
        <v>0</v>
      </c>
      <c r="AL41" s="10">
        <v>0</v>
      </c>
      <c r="AM41" s="10">
        <v>0</v>
      </c>
      <c r="AN41" s="10">
        <v>0</v>
      </c>
      <c r="AO41" s="10">
        <f t="shared" si="42"/>
        <v>0</v>
      </c>
      <c r="AP41" s="10">
        <v>0</v>
      </c>
      <c r="AQ41" s="10">
        <v>0</v>
      </c>
      <c r="AR41" s="10">
        <v>0</v>
      </c>
      <c r="AS41" s="10">
        <v>0</v>
      </c>
      <c r="AT41" s="10">
        <f t="shared" si="43"/>
        <v>2.8711508600000002</v>
      </c>
      <c r="AU41" s="10">
        <v>0</v>
      </c>
      <c r="AV41" s="10">
        <v>2.8711508600000002</v>
      </c>
      <c r="AW41" s="10">
        <v>0</v>
      </c>
      <c r="AX41" s="10">
        <v>0</v>
      </c>
      <c r="AY41" s="10">
        <v>0</v>
      </c>
      <c r="AZ41" s="10">
        <v>0</v>
      </c>
      <c r="BA41" s="10">
        <v>0</v>
      </c>
      <c r="BB41" s="10">
        <v>0</v>
      </c>
      <c r="BC41" s="10">
        <v>0</v>
      </c>
    </row>
    <row r="42" spans="1:55" s="13" customFormat="1" ht="78.75" x14ac:dyDescent="0.25">
      <c r="A42" s="12" t="s">
        <v>106</v>
      </c>
      <c r="B42" s="38" t="s">
        <v>320</v>
      </c>
      <c r="C42" s="12" t="s">
        <v>321</v>
      </c>
      <c r="D42" s="10" t="s">
        <v>91</v>
      </c>
      <c r="E42" s="10">
        <f t="shared" si="44"/>
        <v>2.2654896640000004</v>
      </c>
      <c r="F42" s="10">
        <f>K42+P42+U42+Z42</f>
        <v>6.5489664000000003E-2</v>
      </c>
      <c r="G42" s="10">
        <f t="shared" si="46"/>
        <v>2.2000000000000002</v>
      </c>
      <c r="H42" s="10">
        <f t="shared" si="47"/>
        <v>0</v>
      </c>
      <c r="I42" s="10">
        <f t="shared" si="48"/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f t="shared" si="39"/>
        <v>0</v>
      </c>
      <c r="P42" s="10">
        <v>0</v>
      </c>
      <c r="Q42" s="10">
        <v>0</v>
      </c>
      <c r="R42" s="10">
        <v>0</v>
      </c>
      <c r="S42" s="10">
        <v>0</v>
      </c>
      <c r="T42" s="10">
        <f t="shared" si="40"/>
        <v>6.5489664000000003E-2</v>
      </c>
      <c r="U42" s="10">
        <v>6.5489664000000003E-2</v>
      </c>
      <c r="V42" s="10">
        <v>0</v>
      </c>
      <c r="W42" s="10">
        <v>0</v>
      </c>
      <c r="X42" s="10">
        <v>0</v>
      </c>
      <c r="Y42" s="10">
        <v>2.2000000000000002</v>
      </c>
      <c r="Z42" s="10">
        <v>0</v>
      </c>
      <c r="AA42" s="10">
        <v>2.2000000000000002</v>
      </c>
      <c r="AB42" s="10">
        <v>0</v>
      </c>
      <c r="AC42" s="10">
        <v>0</v>
      </c>
      <c r="AD42" s="10" t="s">
        <v>91</v>
      </c>
      <c r="AE42" s="10">
        <f t="shared" si="41"/>
        <v>1.88457472</v>
      </c>
      <c r="AF42" s="10">
        <f t="shared" si="41"/>
        <v>5.457472E-2</v>
      </c>
      <c r="AG42" s="10">
        <f t="shared" si="41"/>
        <v>1.83</v>
      </c>
      <c r="AH42" s="10">
        <f t="shared" si="41"/>
        <v>0</v>
      </c>
      <c r="AI42" s="10">
        <f t="shared" si="41"/>
        <v>0</v>
      </c>
      <c r="AJ42" s="10">
        <f t="shared" si="49"/>
        <v>0</v>
      </c>
      <c r="AK42" s="10">
        <v>0</v>
      </c>
      <c r="AL42" s="10">
        <v>0</v>
      </c>
      <c r="AM42" s="10">
        <v>0</v>
      </c>
      <c r="AN42" s="10">
        <v>0</v>
      </c>
      <c r="AO42" s="10">
        <f t="shared" si="42"/>
        <v>0</v>
      </c>
      <c r="AP42" s="10">
        <v>0</v>
      </c>
      <c r="AQ42" s="10">
        <v>0</v>
      </c>
      <c r="AR42" s="10">
        <v>0</v>
      </c>
      <c r="AS42" s="10">
        <v>0</v>
      </c>
      <c r="AT42" s="10">
        <f t="shared" si="43"/>
        <v>5.457472E-2</v>
      </c>
      <c r="AU42" s="10">
        <v>5.457472E-2</v>
      </c>
      <c r="AV42" s="10">
        <v>0</v>
      </c>
      <c r="AW42" s="10">
        <v>0</v>
      </c>
      <c r="AX42" s="10">
        <v>0</v>
      </c>
      <c r="AY42" s="10">
        <v>1.83</v>
      </c>
      <c r="AZ42" s="10">
        <v>0</v>
      </c>
      <c r="BA42" s="10">
        <v>1.83</v>
      </c>
      <c r="BB42" s="10">
        <v>0</v>
      </c>
      <c r="BC42" s="10">
        <v>0</v>
      </c>
    </row>
    <row r="43" spans="1:55" s="13" customFormat="1" ht="78.75" x14ac:dyDescent="0.25">
      <c r="A43" s="12" t="s">
        <v>107</v>
      </c>
      <c r="B43" s="38" t="s">
        <v>322</v>
      </c>
      <c r="C43" s="12" t="s">
        <v>323</v>
      </c>
      <c r="D43" s="10" t="s">
        <v>91</v>
      </c>
      <c r="E43" s="10">
        <f t="shared" si="44"/>
        <v>0.92337379599999991</v>
      </c>
      <c r="F43" s="10">
        <f t="shared" si="45"/>
        <v>0</v>
      </c>
      <c r="G43" s="10">
        <f t="shared" si="46"/>
        <v>0.85337379599999996</v>
      </c>
      <c r="H43" s="10">
        <f t="shared" si="47"/>
        <v>0</v>
      </c>
      <c r="I43" s="10">
        <f t="shared" si="48"/>
        <v>7.0000000000000007E-2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f t="shared" si="39"/>
        <v>0</v>
      </c>
      <c r="P43" s="10">
        <v>0</v>
      </c>
      <c r="Q43" s="10">
        <v>0</v>
      </c>
      <c r="R43" s="10">
        <v>0</v>
      </c>
      <c r="S43" s="10">
        <v>0</v>
      </c>
      <c r="T43" s="10">
        <f t="shared" si="40"/>
        <v>0.85337379599999996</v>
      </c>
      <c r="U43" s="10">
        <v>0</v>
      </c>
      <c r="V43" s="10">
        <v>0.85337379599999996</v>
      </c>
      <c r="W43" s="10">
        <v>0</v>
      </c>
      <c r="X43" s="10">
        <v>0</v>
      </c>
      <c r="Y43" s="10">
        <v>6.5000000000000002E-2</v>
      </c>
      <c r="Z43" s="10">
        <v>0</v>
      </c>
      <c r="AA43" s="10">
        <v>0</v>
      </c>
      <c r="AB43" s="10">
        <v>0</v>
      </c>
      <c r="AC43" s="10">
        <v>7.0000000000000007E-2</v>
      </c>
      <c r="AD43" s="10" t="s">
        <v>91</v>
      </c>
      <c r="AE43" s="10">
        <f t="shared" si="41"/>
        <v>0.76856269999999993</v>
      </c>
      <c r="AF43" s="10">
        <f t="shared" si="41"/>
        <v>0</v>
      </c>
      <c r="AG43" s="10">
        <f t="shared" si="41"/>
        <v>0.71114482999999995</v>
      </c>
      <c r="AH43" s="10">
        <f t="shared" si="41"/>
        <v>0</v>
      </c>
      <c r="AI43" s="10">
        <f t="shared" si="41"/>
        <v>0.06</v>
      </c>
      <c r="AJ43" s="10">
        <f t="shared" si="49"/>
        <v>0</v>
      </c>
      <c r="AK43" s="10">
        <v>0</v>
      </c>
      <c r="AL43" s="10">
        <v>0</v>
      </c>
      <c r="AM43" s="10">
        <v>0</v>
      </c>
      <c r="AN43" s="10">
        <v>0</v>
      </c>
      <c r="AO43" s="10">
        <f t="shared" si="42"/>
        <v>0</v>
      </c>
      <c r="AP43" s="10">
        <v>0</v>
      </c>
      <c r="AQ43" s="10">
        <v>0</v>
      </c>
      <c r="AR43" s="10">
        <v>0</v>
      </c>
      <c r="AS43" s="10">
        <v>0</v>
      </c>
      <c r="AT43" s="10">
        <f t="shared" si="43"/>
        <v>0.71114482999999995</v>
      </c>
      <c r="AU43" s="10">
        <v>0</v>
      </c>
      <c r="AV43" s="10">
        <v>0.71114482999999995</v>
      </c>
      <c r="AW43" s="10">
        <v>0</v>
      </c>
      <c r="AX43" s="10">
        <v>0</v>
      </c>
      <c r="AY43" s="10">
        <v>5.7417870000000003E-2</v>
      </c>
      <c r="AZ43" s="10">
        <v>0</v>
      </c>
      <c r="BA43" s="10">
        <v>0</v>
      </c>
      <c r="BB43" s="10">
        <v>0</v>
      </c>
      <c r="BC43" s="10">
        <v>0.06</v>
      </c>
    </row>
    <row r="44" spans="1:55" s="13" customFormat="1" ht="47.25" x14ac:dyDescent="0.25">
      <c r="A44" s="12" t="s">
        <v>194</v>
      </c>
      <c r="B44" s="40" t="s">
        <v>280</v>
      </c>
      <c r="C44" s="42" t="s">
        <v>281</v>
      </c>
      <c r="D44" s="10">
        <v>2.9</v>
      </c>
      <c r="E44" s="10">
        <f>SUM(F44:I44)</f>
        <v>0.98821903199999994</v>
      </c>
      <c r="F44" s="10">
        <f t="shared" ref="F44:I46" si="50">K44+P44+U44+Z44</f>
        <v>0</v>
      </c>
      <c r="G44" s="10">
        <f t="shared" si="50"/>
        <v>0.95821903199999992</v>
      </c>
      <c r="H44" s="10">
        <f t="shared" si="50"/>
        <v>0</v>
      </c>
      <c r="I44" s="10">
        <f t="shared" si="50"/>
        <v>0.03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f>SUM(P44:S44)</f>
        <v>0.95821903199999992</v>
      </c>
      <c r="P44" s="10">
        <v>0</v>
      </c>
      <c r="Q44" s="10">
        <f>0.79851586*1.2</f>
        <v>0.95821903199999992</v>
      </c>
      <c r="R44" s="10">
        <v>0</v>
      </c>
      <c r="S44" s="10">
        <v>0</v>
      </c>
      <c r="T44" s="10">
        <f>SUM(U44:X44)</f>
        <v>0</v>
      </c>
      <c r="U44" s="10">
        <v>0</v>
      </c>
      <c r="V44" s="10">
        <v>0</v>
      </c>
      <c r="W44" s="10">
        <v>0</v>
      </c>
      <c r="X44" s="10">
        <v>0</v>
      </c>
      <c r="Y44" s="10">
        <v>2.5000000000000001E-2</v>
      </c>
      <c r="Z44" s="10">
        <v>0</v>
      </c>
      <c r="AA44" s="10">
        <v>0</v>
      </c>
      <c r="AB44" s="10">
        <v>0</v>
      </c>
      <c r="AC44" s="10">
        <v>0.03</v>
      </c>
      <c r="AD44" s="10">
        <v>2.42</v>
      </c>
      <c r="AE44" s="10">
        <f t="shared" ref="AE44:AI46" si="51">AJ44+AO44+AT44+AY44</f>
        <v>0.82601585999999994</v>
      </c>
      <c r="AF44" s="10">
        <f t="shared" si="51"/>
        <v>0</v>
      </c>
      <c r="AG44" s="10">
        <f t="shared" si="51"/>
        <v>0.79851585999999997</v>
      </c>
      <c r="AH44" s="10">
        <f t="shared" si="51"/>
        <v>0</v>
      </c>
      <c r="AI44" s="10">
        <f t="shared" si="51"/>
        <v>0.03</v>
      </c>
      <c r="AJ44" s="10">
        <f t="shared" ref="AJ44:AJ50" si="52">SUM(AK44:AN44)</f>
        <v>0</v>
      </c>
      <c r="AK44" s="10">
        <v>0</v>
      </c>
      <c r="AL44" s="10">
        <v>0</v>
      </c>
      <c r="AM44" s="10">
        <v>0</v>
      </c>
      <c r="AN44" s="10">
        <v>0</v>
      </c>
      <c r="AO44" s="10">
        <f>SUM(AP44:AS44)</f>
        <v>0.79851585999999997</v>
      </c>
      <c r="AP44" s="10">
        <v>0</v>
      </c>
      <c r="AQ44" s="10">
        <v>0.79851585999999997</v>
      </c>
      <c r="AR44" s="10">
        <v>0</v>
      </c>
      <c r="AS44" s="10">
        <v>0</v>
      </c>
      <c r="AT44" s="10">
        <f>SUM(AU44:AX44)</f>
        <v>0</v>
      </c>
      <c r="AU44" s="10">
        <v>0</v>
      </c>
      <c r="AV44" s="10">
        <v>0</v>
      </c>
      <c r="AW44" s="10">
        <v>0</v>
      </c>
      <c r="AX44" s="10">
        <v>0</v>
      </c>
      <c r="AY44" s="10">
        <v>2.75E-2</v>
      </c>
      <c r="AZ44" s="10">
        <v>0</v>
      </c>
      <c r="BA44" s="10">
        <v>0</v>
      </c>
      <c r="BB44" s="10">
        <v>0</v>
      </c>
      <c r="BC44" s="10">
        <v>0.03</v>
      </c>
    </row>
    <row r="45" spans="1:55" s="13" customFormat="1" ht="63" x14ac:dyDescent="0.25">
      <c r="A45" s="12" t="s">
        <v>388</v>
      </c>
      <c r="B45" s="46" t="s">
        <v>282</v>
      </c>
      <c r="C45" s="41" t="s">
        <v>283</v>
      </c>
      <c r="D45" s="10">
        <v>2.2000000000000002</v>
      </c>
      <c r="E45" s="10">
        <f>SUM(F45:I45)</f>
        <v>0.29428605600000002</v>
      </c>
      <c r="F45" s="10">
        <f t="shared" si="50"/>
        <v>0.29428605600000002</v>
      </c>
      <c r="G45" s="10">
        <f t="shared" si="50"/>
        <v>0</v>
      </c>
      <c r="H45" s="10">
        <f t="shared" si="50"/>
        <v>0</v>
      </c>
      <c r="I45" s="10">
        <f t="shared" si="50"/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f>SUM(P45:S45)</f>
        <v>0.29428605600000002</v>
      </c>
      <c r="P45" s="10">
        <f>0.24523838*1.2</f>
        <v>0.29428605600000002</v>
      </c>
      <c r="Q45" s="10">
        <v>0</v>
      </c>
      <c r="R45" s="10">
        <v>0</v>
      </c>
      <c r="S45" s="10">
        <v>0</v>
      </c>
      <c r="T45" s="10">
        <f>SUM(U45:X45)</f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1.83</v>
      </c>
      <c r="AE45" s="10">
        <f t="shared" si="51"/>
        <v>0.24523838000000001</v>
      </c>
      <c r="AF45" s="10">
        <f t="shared" si="51"/>
        <v>0.24523838000000001</v>
      </c>
      <c r="AG45" s="10">
        <f t="shared" si="51"/>
        <v>0</v>
      </c>
      <c r="AH45" s="10">
        <f t="shared" si="51"/>
        <v>0</v>
      </c>
      <c r="AI45" s="10">
        <f t="shared" si="51"/>
        <v>0</v>
      </c>
      <c r="AJ45" s="10">
        <f t="shared" si="52"/>
        <v>0</v>
      </c>
      <c r="AK45" s="10">
        <v>0</v>
      </c>
      <c r="AL45" s="10">
        <v>0</v>
      </c>
      <c r="AM45" s="10">
        <v>0</v>
      </c>
      <c r="AN45" s="10">
        <v>0</v>
      </c>
      <c r="AO45" s="10">
        <f>SUM(AP45:AS45)</f>
        <v>0.24523838000000001</v>
      </c>
      <c r="AP45" s="10">
        <v>0.24523838000000001</v>
      </c>
      <c r="AQ45" s="10">
        <v>0</v>
      </c>
      <c r="AR45" s="10">
        <v>0</v>
      </c>
      <c r="AS45" s="10">
        <v>0</v>
      </c>
      <c r="AT45" s="10">
        <f>SUM(AU45:AX45)</f>
        <v>0</v>
      </c>
      <c r="AU45" s="10">
        <v>0</v>
      </c>
      <c r="AV45" s="10">
        <v>0</v>
      </c>
      <c r="AW45" s="10">
        <v>0</v>
      </c>
      <c r="AX45" s="10">
        <v>0</v>
      </c>
      <c r="AY45" s="10">
        <v>0</v>
      </c>
      <c r="AZ45" s="10">
        <v>0</v>
      </c>
      <c r="BA45" s="10">
        <v>0</v>
      </c>
      <c r="BB45" s="10">
        <v>0</v>
      </c>
      <c r="BC45" s="10">
        <v>0</v>
      </c>
    </row>
    <row r="46" spans="1:55" s="13" customFormat="1" ht="63" x14ac:dyDescent="0.25">
      <c r="A46" s="12" t="s">
        <v>389</v>
      </c>
      <c r="B46" s="46" t="s">
        <v>284</v>
      </c>
      <c r="C46" s="41" t="s">
        <v>285</v>
      </c>
      <c r="D46" s="10">
        <v>2.6850000000000001</v>
      </c>
      <c r="E46" s="10">
        <f>SUM(F46:I46)</f>
        <v>1.3774751680000001</v>
      </c>
      <c r="F46" s="10">
        <f t="shared" si="50"/>
        <v>1.085138688</v>
      </c>
      <c r="G46" s="10">
        <f t="shared" si="50"/>
        <v>0.22233648</v>
      </c>
      <c r="H46" s="10">
        <f t="shared" si="50"/>
        <v>0</v>
      </c>
      <c r="I46" s="10">
        <f t="shared" si="50"/>
        <v>7.0000000000000007E-2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f>SUM(P46:S46)</f>
        <v>1.085138688</v>
      </c>
      <c r="P46" s="10">
        <f>0.90428224*1.2</f>
        <v>1.085138688</v>
      </c>
      <c r="Q46" s="10">
        <v>0</v>
      </c>
      <c r="R46" s="10">
        <v>0</v>
      </c>
      <c r="S46" s="10">
        <v>0</v>
      </c>
      <c r="T46" s="10">
        <f>SUM(U46:X46)</f>
        <v>0.22233648</v>
      </c>
      <c r="U46" s="10">
        <v>0</v>
      </c>
      <c r="V46" s="10">
        <v>0.22233648</v>
      </c>
      <c r="W46" s="10">
        <v>0</v>
      </c>
      <c r="X46" s="10">
        <v>0</v>
      </c>
      <c r="Y46" s="10">
        <v>7.0000000000000007E-2</v>
      </c>
      <c r="Z46" s="10">
        <v>0</v>
      </c>
      <c r="AA46" s="10">
        <v>0</v>
      </c>
      <c r="AB46" s="10">
        <v>0</v>
      </c>
      <c r="AC46" s="10">
        <v>7.0000000000000007E-2</v>
      </c>
      <c r="AD46" s="10">
        <v>2.2400000000000002</v>
      </c>
      <c r="AE46" s="10">
        <f t="shared" si="51"/>
        <v>1.1444777100000001</v>
      </c>
      <c r="AF46" s="10">
        <f t="shared" si="51"/>
        <v>0.90428224000000001</v>
      </c>
      <c r="AG46" s="10">
        <f t="shared" si="51"/>
        <v>0.18528004000000001</v>
      </c>
      <c r="AH46" s="10">
        <f t="shared" si="51"/>
        <v>0</v>
      </c>
      <c r="AI46" s="10">
        <f t="shared" si="51"/>
        <v>0.05</v>
      </c>
      <c r="AJ46" s="10">
        <f t="shared" si="52"/>
        <v>0</v>
      </c>
      <c r="AK46" s="10">
        <v>0</v>
      </c>
      <c r="AL46" s="10">
        <v>0</v>
      </c>
      <c r="AM46" s="10">
        <v>0</v>
      </c>
      <c r="AN46" s="10">
        <v>0</v>
      </c>
      <c r="AO46" s="10">
        <f>SUM(AP46:AS46)</f>
        <v>0.90428224000000001</v>
      </c>
      <c r="AP46" s="10">
        <v>0.90428224000000001</v>
      </c>
      <c r="AQ46" s="10">
        <v>0</v>
      </c>
      <c r="AR46" s="10">
        <v>0</v>
      </c>
      <c r="AS46" s="10">
        <v>0</v>
      </c>
      <c r="AT46" s="10">
        <f>SUM(AU46:AX46)</f>
        <v>0.18528004000000001</v>
      </c>
      <c r="AU46" s="10">
        <v>0</v>
      </c>
      <c r="AV46" s="10">
        <v>0.18528004000000001</v>
      </c>
      <c r="AW46" s="10">
        <v>0</v>
      </c>
      <c r="AX46" s="10">
        <v>0</v>
      </c>
      <c r="AY46" s="10">
        <v>5.4915430000000001E-2</v>
      </c>
      <c r="AZ46" s="10">
        <v>0</v>
      </c>
      <c r="BA46" s="10">
        <v>0</v>
      </c>
      <c r="BB46" s="10">
        <v>0</v>
      </c>
      <c r="BC46" s="10">
        <v>0.05</v>
      </c>
    </row>
    <row r="47" spans="1:55" s="13" customFormat="1" ht="63" x14ac:dyDescent="0.25">
      <c r="A47" s="12" t="s">
        <v>390</v>
      </c>
      <c r="B47" s="40" t="s">
        <v>229</v>
      </c>
      <c r="C47" s="40" t="s">
        <v>230</v>
      </c>
      <c r="D47" s="10">
        <v>1.7049999999999998</v>
      </c>
      <c r="E47" s="10">
        <f t="shared" si="44"/>
        <v>0.81843723599999996</v>
      </c>
      <c r="F47" s="10">
        <f t="shared" si="45"/>
        <v>0.09</v>
      </c>
      <c r="G47" s="10">
        <f t="shared" si="46"/>
        <v>0.72843723599999999</v>
      </c>
      <c r="H47" s="10">
        <f t="shared" si="47"/>
        <v>0</v>
      </c>
      <c r="I47" s="10">
        <f t="shared" si="48"/>
        <v>0</v>
      </c>
      <c r="J47" s="10">
        <v>0.09</v>
      </c>
      <c r="K47" s="10">
        <v>0.09</v>
      </c>
      <c r="L47" s="10">
        <v>0</v>
      </c>
      <c r="M47" s="10">
        <v>0</v>
      </c>
      <c r="N47" s="10">
        <v>0</v>
      </c>
      <c r="O47" s="10">
        <f t="shared" si="39"/>
        <v>0.72843723599999999</v>
      </c>
      <c r="P47" s="10">
        <v>0</v>
      </c>
      <c r="Q47" s="10">
        <f>0.60703103*1.2</f>
        <v>0.72843723599999999</v>
      </c>
      <c r="R47" s="10">
        <v>0</v>
      </c>
      <c r="S47" s="10">
        <v>0</v>
      </c>
      <c r="T47" s="10">
        <f t="shared" si="40"/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1.4200000000000002</v>
      </c>
      <c r="AE47" s="10">
        <f t="shared" si="41"/>
        <v>0.69103102999999999</v>
      </c>
      <c r="AF47" s="10">
        <f t="shared" si="41"/>
        <v>8.4000000000000005E-2</v>
      </c>
      <c r="AG47" s="10">
        <f t="shared" si="41"/>
        <v>0.60703103000000003</v>
      </c>
      <c r="AH47" s="10">
        <f t="shared" si="41"/>
        <v>0</v>
      </c>
      <c r="AI47" s="10">
        <f t="shared" si="41"/>
        <v>0</v>
      </c>
      <c r="AJ47" s="10">
        <f t="shared" si="52"/>
        <v>8.4000000000000005E-2</v>
      </c>
      <c r="AK47" s="10">
        <v>8.4000000000000005E-2</v>
      </c>
      <c r="AL47" s="10">
        <v>0</v>
      </c>
      <c r="AM47" s="10">
        <v>0</v>
      </c>
      <c r="AN47" s="10">
        <v>0</v>
      </c>
      <c r="AO47" s="10">
        <f t="shared" si="42"/>
        <v>0.60703103000000003</v>
      </c>
      <c r="AP47" s="10">
        <v>0</v>
      </c>
      <c r="AQ47" s="10">
        <v>0.60703103000000003</v>
      </c>
      <c r="AR47" s="10">
        <v>0</v>
      </c>
      <c r="AS47" s="10">
        <v>0</v>
      </c>
      <c r="AT47" s="10">
        <f t="shared" si="43"/>
        <v>0</v>
      </c>
      <c r="AU47" s="10">
        <v>0</v>
      </c>
      <c r="AV47" s="10">
        <v>0</v>
      </c>
      <c r="AW47" s="10">
        <v>0</v>
      </c>
      <c r="AX47" s="10">
        <v>0</v>
      </c>
      <c r="AY47" s="10">
        <v>0</v>
      </c>
      <c r="AZ47" s="10">
        <v>0</v>
      </c>
      <c r="BA47" s="10">
        <v>0</v>
      </c>
      <c r="BB47" s="10">
        <v>0</v>
      </c>
      <c r="BC47" s="10">
        <v>0</v>
      </c>
    </row>
    <row r="48" spans="1:55" s="13" customFormat="1" ht="63" x14ac:dyDescent="0.25">
      <c r="A48" s="12" t="s">
        <v>391</v>
      </c>
      <c r="B48" s="46" t="s">
        <v>231</v>
      </c>
      <c r="C48" s="41" t="s">
        <v>232</v>
      </c>
      <c r="D48" s="10">
        <v>1.145</v>
      </c>
      <c r="E48" s="10">
        <f t="shared" si="44"/>
        <v>0.08</v>
      </c>
      <c r="F48" s="10">
        <f t="shared" si="45"/>
        <v>0.08</v>
      </c>
      <c r="G48" s="10">
        <f t="shared" si="46"/>
        <v>0</v>
      </c>
      <c r="H48" s="10">
        <f t="shared" si="47"/>
        <v>0</v>
      </c>
      <c r="I48" s="10">
        <f t="shared" si="48"/>
        <v>0</v>
      </c>
      <c r="J48" s="10">
        <v>0.08</v>
      </c>
      <c r="K48" s="10">
        <v>0.08</v>
      </c>
      <c r="L48" s="10">
        <v>0</v>
      </c>
      <c r="M48" s="10">
        <v>0</v>
      </c>
      <c r="N48" s="10">
        <v>0</v>
      </c>
      <c r="O48" s="10">
        <f t="shared" si="39"/>
        <v>0</v>
      </c>
      <c r="P48" s="10">
        <v>0</v>
      </c>
      <c r="Q48" s="10">
        <v>0</v>
      </c>
      <c r="R48" s="10">
        <v>0</v>
      </c>
      <c r="S48" s="10">
        <v>0</v>
      </c>
      <c r="T48" s="10">
        <f>SUM(U48:X48)</f>
        <v>0</v>
      </c>
      <c r="U48" s="10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0.96</v>
      </c>
      <c r="AE48" s="10">
        <f t="shared" si="41"/>
        <v>7.0000000000000007E-2</v>
      </c>
      <c r="AF48" s="10">
        <f t="shared" si="41"/>
        <v>7.0000000000000007E-2</v>
      </c>
      <c r="AG48" s="10">
        <f t="shared" si="41"/>
        <v>0</v>
      </c>
      <c r="AH48" s="10">
        <f t="shared" si="41"/>
        <v>0</v>
      </c>
      <c r="AI48" s="10">
        <f t="shared" si="41"/>
        <v>0</v>
      </c>
      <c r="AJ48" s="10">
        <f t="shared" si="52"/>
        <v>7.0000000000000007E-2</v>
      </c>
      <c r="AK48" s="10">
        <v>7.0000000000000007E-2</v>
      </c>
      <c r="AL48" s="10">
        <v>0</v>
      </c>
      <c r="AM48" s="10">
        <v>0</v>
      </c>
      <c r="AN48" s="10">
        <v>0</v>
      </c>
      <c r="AO48" s="10">
        <f t="shared" si="42"/>
        <v>0</v>
      </c>
      <c r="AP48" s="10">
        <v>0</v>
      </c>
      <c r="AQ48" s="10">
        <v>0</v>
      </c>
      <c r="AR48" s="10">
        <v>0</v>
      </c>
      <c r="AS48" s="10">
        <v>0</v>
      </c>
      <c r="AT48" s="10">
        <f t="shared" si="43"/>
        <v>0</v>
      </c>
      <c r="AU48" s="10">
        <v>0</v>
      </c>
      <c r="AV48" s="10">
        <v>0</v>
      </c>
      <c r="AW48" s="10">
        <v>0</v>
      </c>
      <c r="AX48" s="10">
        <v>0</v>
      </c>
      <c r="AY48" s="10">
        <v>0</v>
      </c>
      <c r="AZ48" s="10">
        <v>0</v>
      </c>
      <c r="BA48" s="10">
        <v>0</v>
      </c>
      <c r="BB48" s="10">
        <v>0</v>
      </c>
      <c r="BC48" s="10">
        <v>0</v>
      </c>
    </row>
    <row r="49" spans="1:55" s="13" customFormat="1" ht="63" x14ac:dyDescent="0.25">
      <c r="A49" s="12" t="s">
        <v>392</v>
      </c>
      <c r="B49" s="46" t="s">
        <v>233</v>
      </c>
      <c r="C49" s="12" t="s">
        <v>234</v>
      </c>
      <c r="D49" s="10">
        <v>1.145</v>
      </c>
      <c r="E49" s="10">
        <f t="shared" si="44"/>
        <v>0.80199999999999994</v>
      </c>
      <c r="F49" s="10">
        <f t="shared" si="45"/>
        <v>7.1999999999999995E-2</v>
      </c>
      <c r="G49" s="10">
        <f t="shared" si="46"/>
        <v>0.73</v>
      </c>
      <c r="H49" s="10">
        <f t="shared" si="47"/>
        <v>0</v>
      </c>
      <c r="I49" s="10">
        <f t="shared" si="48"/>
        <v>0</v>
      </c>
      <c r="J49" s="10">
        <v>0.8</v>
      </c>
      <c r="K49" s="10">
        <f>0.06*1.2</f>
        <v>7.1999999999999995E-2</v>
      </c>
      <c r="L49" s="10">
        <v>0.73</v>
      </c>
      <c r="M49" s="10">
        <v>0</v>
      </c>
      <c r="N49" s="10">
        <v>0</v>
      </c>
      <c r="O49" s="10">
        <f t="shared" si="39"/>
        <v>0</v>
      </c>
      <c r="P49" s="10">
        <v>0</v>
      </c>
      <c r="Q49" s="10">
        <v>0</v>
      </c>
      <c r="R49" s="10">
        <v>0</v>
      </c>
      <c r="S49" s="10">
        <v>0</v>
      </c>
      <c r="T49" s="10">
        <f>SUM(U49:X49)</f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0.95499999999999996</v>
      </c>
      <c r="AE49" s="10">
        <f>AJ49+AO49+AT49+AY49</f>
        <v>0.66847599999999996</v>
      </c>
      <c r="AF49" s="10">
        <f>AK49+AP49+AU49+AZ49</f>
        <v>6.4799999999999996E-2</v>
      </c>
      <c r="AG49" s="10">
        <f>AL49+AQ49+AV49+BA49</f>
        <v>0.60367599999999999</v>
      </c>
      <c r="AH49" s="10">
        <f>AM49+AR49+AW49+BB49</f>
        <v>0</v>
      </c>
      <c r="AI49" s="10">
        <f>AN49+AS49+AX49+BC49</f>
        <v>0</v>
      </c>
      <c r="AJ49" s="10">
        <f t="shared" si="52"/>
        <v>0.66847599999999996</v>
      </c>
      <c r="AK49" s="10">
        <v>6.4799999999999996E-2</v>
      </c>
      <c r="AL49" s="10">
        <v>0.60367599999999999</v>
      </c>
      <c r="AM49" s="10">
        <v>0</v>
      </c>
      <c r="AN49" s="10">
        <v>0</v>
      </c>
      <c r="AO49" s="10">
        <f t="shared" si="42"/>
        <v>0</v>
      </c>
      <c r="AP49" s="10">
        <v>0</v>
      </c>
      <c r="AQ49" s="10">
        <v>0</v>
      </c>
      <c r="AR49" s="10">
        <v>0</v>
      </c>
      <c r="AS49" s="10">
        <v>0</v>
      </c>
      <c r="AT49" s="10">
        <f t="shared" si="43"/>
        <v>0</v>
      </c>
      <c r="AU49" s="10">
        <v>0</v>
      </c>
      <c r="AV49" s="10">
        <v>0</v>
      </c>
      <c r="AW49" s="10">
        <v>0</v>
      </c>
      <c r="AX49" s="10">
        <v>0</v>
      </c>
      <c r="AY49" s="10">
        <v>0</v>
      </c>
      <c r="AZ49" s="10">
        <v>0</v>
      </c>
      <c r="BA49" s="10">
        <v>0</v>
      </c>
      <c r="BB49" s="10">
        <v>0</v>
      </c>
      <c r="BC49" s="10">
        <v>0</v>
      </c>
    </row>
    <row r="50" spans="1:55" s="13" customFormat="1" ht="78.75" x14ac:dyDescent="0.25">
      <c r="A50" s="12" t="s">
        <v>393</v>
      </c>
      <c r="B50" s="46" t="s">
        <v>192</v>
      </c>
      <c r="C50" s="41" t="s">
        <v>193</v>
      </c>
      <c r="D50" s="10" t="s">
        <v>91</v>
      </c>
      <c r="E50" s="10">
        <f t="shared" si="44"/>
        <v>0</v>
      </c>
      <c r="F50" s="10">
        <f t="shared" si="45"/>
        <v>0</v>
      </c>
      <c r="G50" s="10">
        <f t="shared" si="46"/>
        <v>0</v>
      </c>
      <c r="H50" s="10">
        <f t="shared" si="47"/>
        <v>0</v>
      </c>
      <c r="I50" s="10">
        <f t="shared" si="48"/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f t="shared" si="39"/>
        <v>0</v>
      </c>
      <c r="P50" s="10">
        <v>0</v>
      </c>
      <c r="Q50" s="10">
        <v>0</v>
      </c>
      <c r="R50" s="10">
        <v>0</v>
      </c>
      <c r="S50" s="10">
        <v>0</v>
      </c>
      <c r="T50" s="10">
        <f t="shared" si="40"/>
        <v>0</v>
      </c>
      <c r="U50" s="10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f t="shared" si="41"/>
        <v>0</v>
      </c>
      <c r="AF50" s="10">
        <f t="shared" si="41"/>
        <v>0</v>
      </c>
      <c r="AG50" s="10">
        <f t="shared" si="41"/>
        <v>0</v>
      </c>
      <c r="AH50" s="10">
        <f t="shared" si="41"/>
        <v>0</v>
      </c>
      <c r="AI50" s="10">
        <f t="shared" si="41"/>
        <v>0</v>
      </c>
      <c r="AJ50" s="10">
        <f t="shared" si="52"/>
        <v>0</v>
      </c>
      <c r="AK50" s="10">
        <v>0</v>
      </c>
      <c r="AL50" s="10">
        <v>0</v>
      </c>
      <c r="AM50" s="10">
        <v>0</v>
      </c>
      <c r="AN50" s="10">
        <v>0</v>
      </c>
      <c r="AO50" s="10">
        <f t="shared" si="42"/>
        <v>0</v>
      </c>
      <c r="AP50" s="10">
        <v>0</v>
      </c>
      <c r="AQ50" s="10">
        <v>0</v>
      </c>
      <c r="AR50" s="10">
        <v>0</v>
      </c>
      <c r="AS50" s="10">
        <v>0</v>
      </c>
      <c r="AT50" s="10">
        <f t="shared" si="43"/>
        <v>0</v>
      </c>
      <c r="AU50" s="10">
        <v>0</v>
      </c>
      <c r="AV50" s="10">
        <v>0</v>
      </c>
      <c r="AW50" s="10">
        <v>0</v>
      </c>
      <c r="AX50" s="10">
        <v>0</v>
      </c>
      <c r="AY50" s="10">
        <v>0</v>
      </c>
      <c r="AZ50" s="10">
        <v>0</v>
      </c>
      <c r="BA50" s="10">
        <v>0</v>
      </c>
      <c r="BB50" s="10">
        <v>0</v>
      </c>
      <c r="BC50" s="10">
        <v>0</v>
      </c>
    </row>
    <row r="51" spans="1:55" s="13" customFormat="1" ht="47.25" x14ac:dyDescent="0.25">
      <c r="A51" s="45" t="s">
        <v>235</v>
      </c>
      <c r="B51" s="47" t="s">
        <v>236</v>
      </c>
      <c r="C51" s="45" t="s">
        <v>77</v>
      </c>
      <c r="D51" s="10">
        <f>D52</f>
        <v>4.37</v>
      </c>
      <c r="E51" s="10">
        <f t="shared" ref="E51:BC51" si="53">E52</f>
        <v>0</v>
      </c>
      <c r="F51" s="10">
        <f t="shared" si="53"/>
        <v>0</v>
      </c>
      <c r="G51" s="10">
        <f t="shared" si="53"/>
        <v>0</v>
      </c>
      <c r="H51" s="10">
        <f t="shared" si="53"/>
        <v>0</v>
      </c>
      <c r="I51" s="10">
        <f t="shared" si="53"/>
        <v>0</v>
      </c>
      <c r="J51" s="10">
        <f t="shared" si="53"/>
        <v>0</v>
      </c>
      <c r="K51" s="10">
        <f t="shared" si="53"/>
        <v>0</v>
      </c>
      <c r="L51" s="10">
        <f t="shared" si="53"/>
        <v>0</v>
      </c>
      <c r="M51" s="10">
        <f t="shared" si="53"/>
        <v>0</v>
      </c>
      <c r="N51" s="10">
        <f t="shared" si="53"/>
        <v>0</v>
      </c>
      <c r="O51" s="10">
        <f t="shared" si="53"/>
        <v>0</v>
      </c>
      <c r="P51" s="10">
        <f t="shared" si="53"/>
        <v>0</v>
      </c>
      <c r="Q51" s="10">
        <f t="shared" si="53"/>
        <v>0</v>
      </c>
      <c r="R51" s="10">
        <f t="shared" si="53"/>
        <v>0</v>
      </c>
      <c r="S51" s="10">
        <f t="shared" si="53"/>
        <v>0</v>
      </c>
      <c r="T51" s="10">
        <f t="shared" si="53"/>
        <v>0</v>
      </c>
      <c r="U51" s="10">
        <f t="shared" si="53"/>
        <v>0</v>
      </c>
      <c r="V51" s="10">
        <f t="shared" si="53"/>
        <v>0</v>
      </c>
      <c r="W51" s="10">
        <f t="shared" si="53"/>
        <v>0</v>
      </c>
      <c r="X51" s="10">
        <f t="shared" si="53"/>
        <v>0</v>
      </c>
      <c r="Y51" s="10">
        <f t="shared" si="53"/>
        <v>0</v>
      </c>
      <c r="Z51" s="10">
        <f t="shared" si="53"/>
        <v>0</v>
      </c>
      <c r="AA51" s="10">
        <f t="shared" si="53"/>
        <v>0</v>
      </c>
      <c r="AB51" s="10">
        <f t="shared" si="53"/>
        <v>0</v>
      </c>
      <c r="AC51" s="10">
        <f t="shared" si="53"/>
        <v>0</v>
      </c>
      <c r="AD51" s="10">
        <f t="shared" si="53"/>
        <v>3.64</v>
      </c>
      <c r="AE51" s="10">
        <f t="shared" si="53"/>
        <v>0</v>
      </c>
      <c r="AF51" s="10">
        <f t="shared" si="53"/>
        <v>0</v>
      </c>
      <c r="AG51" s="10">
        <f t="shared" si="53"/>
        <v>0</v>
      </c>
      <c r="AH51" s="10">
        <f t="shared" si="53"/>
        <v>0</v>
      </c>
      <c r="AI51" s="10">
        <f t="shared" si="53"/>
        <v>0</v>
      </c>
      <c r="AJ51" s="10">
        <f t="shared" si="53"/>
        <v>0</v>
      </c>
      <c r="AK51" s="10">
        <f t="shared" si="53"/>
        <v>0</v>
      </c>
      <c r="AL51" s="10">
        <f t="shared" si="53"/>
        <v>0</v>
      </c>
      <c r="AM51" s="10">
        <f t="shared" si="53"/>
        <v>0</v>
      </c>
      <c r="AN51" s="10">
        <f t="shared" si="53"/>
        <v>0</v>
      </c>
      <c r="AO51" s="10">
        <f t="shared" si="53"/>
        <v>0</v>
      </c>
      <c r="AP51" s="10">
        <f t="shared" si="53"/>
        <v>0</v>
      </c>
      <c r="AQ51" s="10">
        <f t="shared" si="53"/>
        <v>0</v>
      </c>
      <c r="AR51" s="10">
        <f t="shared" si="53"/>
        <v>0</v>
      </c>
      <c r="AS51" s="10">
        <f t="shared" si="53"/>
        <v>0</v>
      </c>
      <c r="AT51" s="10">
        <f t="shared" si="53"/>
        <v>0</v>
      </c>
      <c r="AU51" s="10">
        <f t="shared" si="53"/>
        <v>0</v>
      </c>
      <c r="AV51" s="10">
        <f t="shared" si="53"/>
        <v>0</v>
      </c>
      <c r="AW51" s="10">
        <f t="shared" si="53"/>
        <v>0</v>
      </c>
      <c r="AX51" s="10">
        <f t="shared" si="53"/>
        <v>0</v>
      </c>
      <c r="AY51" s="10">
        <f t="shared" si="53"/>
        <v>0</v>
      </c>
      <c r="AZ51" s="10">
        <f t="shared" si="53"/>
        <v>0</v>
      </c>
      <c r="BA51" s="10">
        <f t="shared" si="53"/>
        <v>0</v>
      </c>
      <c r="BB51" s="10">
        <f t="shared" si="53"/>
        <v>0</v>
      </c>
      <c r="BC51" s="10">
        <f t="shared" si="53"/>
        <v>0</v>
      </c>
    </row>
    <row r="52" spans="1:55" s="13" customFormat="1" ht="31.5" x14ac:dyDescent="0.25">
      <c r="A52" s="18" t="s">
        <v>237</v>
      </c>
      <c r="B52" s="38" t="s">
        <v>238</v>
      </c>
      <c r="C52" s="39" t="s">
        <v>239</v>
      </c>
      <c r="D52" s="10">
        <v>4.37</v>
      </c>
      <c r="E52" s="10">
        <f>SUM(F52:I52)</f>
        <v>0</v>
      </c>
      <c r="F52" s="10">
        <f>K52+P52+U52+Z52</f>
        <v>0</v>
      </c>
      <c r="G52" s="10">
        <f>L52+Q52+V52+AA52</f>
        <v>0</v>
      </c>
      <c r="H52" s="10">
        <f>M52+R52+W52+AB52</f>
        <v>0</v>
      </c>
      <c r="I52" s="10">
        <f>N52+S52+X52+AC52</f>
        <v>0</v>
      </c>
      <c r="J52" s="10">
        <f>SUM(K52:N52)</f>
        <v>0</v>
      </c>
      <c r="K52" s="10">
        <v>0</v>
      </c>
      <c r="L52" s="10">
        <v>0</v>
      </c>
      <c r="M52" s="10">
        <v>0</v>
      </c>
      <c r="N52" s="10">
        <v>0</v>
      </c>
      <c r="O52" s="10">
        <f>SUM(P52:S52)</f>
        <v>0</v>
      </c>
      <c r="P52" s="10">
        <v>0</v>
      </c>
      <c r="Q52" s="10">
        <v>0</v>
      </c>
      <c r="R52" s="10">
        <v>0</v>
      </c>
      <c r="S52" s="10">
        <v>0</v>
      </c>
      <c r="T52" s="10">
        <f>SUM(U52:X52)</f>
        <v>0</v>
      </c>
      <c r="U52" s="10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3.64</v>
      </c>
      <c r="AE52" s="10">
        <f>AJ52+AO52+AT52+AY52</f>
        <v>0</v>
      </c>
      <c r="AF52" s="10">
        <f>AK52+AP52+AU52+AZ52</f>
        <v>0</v>
      </c>
      <c r="AG52" s="10">
        <f>AL52+AQ52+AV52+BA52</f>
        <v>0</v>
      </c>
      <c r="AH52" s="10">
        <f>AM52+AR52+AW52+BB52</f>
        <v>0</v>
      </c>
      <c r="AI52" s="10">
        <f>AN52+AS52+AX52+BC52</f>
        <v>0</v>
      </c>
      <c r="AJ52" s="10">
        <v>0</v>
      </c>
      <c r="AK52" s="10">
        <v>0</v>
      </c>
      <c r="AL52" s="10">
        <v>0</v>
      </c>
      <c r="AM52" s="10">
        <v>0</v>
      </c>
      <c r="AN52" s="10">
        <v>0</v>
      </c>
      <c r="AO52" s="10">
        <f>SUM(AP52:AS52)</f>
        <v>0</v>
      </c>
      <c r="AP52" s="10">
        <v>0</v>
      </c>
      <c r="AQ52" s="10">
        <v>0</v>
      </c>
      <c r="AR52" s="10">
        <v>0</v>
      </c>
      <c r="AS52" s="10">
        <v>0</v>
      </c>
      <c r="AT52" s="10">
        <f>SUM(AU52:AX52)</f>
        <v>0</v>
      </c>
      <c r="AU52" s="10">
        <v>0</v>
      </c>
      <c r="AV52" s="10">
        <v>0</v>
      </c>
      <c r="AW52" s="10">
        <v>0</v>
      </c>
      <c r="AX52" s="10">
        <v>0</v>
      </c>
      <c r="AY52" s="10">
        <f>SUM(AZ52:BC52)</f>
        <v>0</v>
      </c>
      <c r="AZ52" s="10">
        <v>0</v>
      </c>
      <c r="BA52" s="10">
        <v>0</v>
      </c>
      <c r="BB52" s="10">
        <v>0</v>
      </c>
      <c r="BC52" s="10">
        <v>0</v>
      </c>
    </row>
    <row r="53" spans="1:55" ht="47.25" x14ac:dyDescent="0.25">
      <c r="A53" s="11" t="s">
        <v>108</v>
      </c>
      <c r="B53" s="64" t="s">
        <v>109</v>
      </c>
      <c r="C53" s="11" t="s">
        <v>77</v>
      </c>
      <c r="D53" s="16">
        <f t="shared" ref="D53:BC53" si="54">D54</f>
        <v>90.523680000000027</v>
      </c>
      <c r="E53" s="16">
        <f t="shared" si="54"/>
        <v>66.477677043999989</v>
      </c>
      <c r="F53" s="16">
        <f t="shared" si="54"/>
        <v>4.3243378999999988</v>
      </c>
      <c r="G53" s="16">
        <f t="shared" si="54"/>
        <v>59.439615432000011</v>
      </c>
      <c r="H53" s="16">
        <f t="shared" si="54"/>
        <v>0</v>
      </c>
      <c r="I53" s="16">
        <f t="shared" si="54"/>
        <v>2.7105983759999996</v>
      </c>
      <c r="J53" s="16">
        <f t="shared" si="54"/>
        <v>19.511448655999999</v>
      </c>
      <c r="K53" s="16">
        <f t="shared" si="54"/>
        <v>1.0108760000000001</v>
      </c>
      <c r="L53" s="16">
        <f t="shared" si="54"/>
        <v>17.400906119999998</v>
      </c>
      <c r="M53" s="16">
        <f t="shared" si="54"/>
        <v>0</v>
      </c>
      <c r="N53" s="16">
        <f t="shared" si="54"/>
        <v>1.1057412</v>
      </c>
      <c r="O53" s="16">
        <f t="shared" si="54"/>
        <v>19.857500591999997</v>
      </c>
      <c r="P53" s="16">
        <f t="shared" si="54"/>
        <v>0.36225770400000001</v>
      </c>
      <c r="Q53" s="16">
        <f t="shared" si="54"/>
        <v>19.303510032000002</v>
      </c>
      <c r="R53" s="16">
        <f t="shared" si="54"/>
        <v>0</v>
      </c>
      <c r="S53" s="16">
        <f t="shared" si="54"/>
        <v>0.19173285600000001</v>
      </c>
      <c r="T53" s="16">
        <f t="shared" si="54"/>
        <v>14.323727795999996</v>
      </c>
      <c r="U53" s="16">
        <f t="shared" si="54"/>
        <v>2.5444041959999995</v>
      </c>
      <c r="V53" s="16">
        <f t="shared" si="54"/>
        <v>10.662599279999998</v>
      </c>
      <c r="W53" s="16">
        <f t="shared" si="54"/>
        <v>0</v>
      </c>
      <c r="X53" s="16">
        <f t="shared" si="54"/>
        <v>1.1167243199999999</v>
      </c>
      <c r="Y53" s="16">
        <f t="shared" si="54"/>
        <v>12.785000000000002</v>
      </c>
      <c r="Z53" s="16">
        <f t="shared" si="54"/>
        <v>0.40679999999999999</v>
      </c>
      <c r="AA53" s="16">
        <f t="shared" si="54"/>
        <v>12.072600000000001</v>
      </c>
      <c r="AB53" s="16">
        <f t="shared" si="54"/>
        <v>0</v>
      </c>
      <c r="AC53" s="16">
        <f t="shared" si="54"/>
        <v>0.2964</v>
      </c>
      <c r="AD53" s="16">
        <f t="shared" si="54"/>
        <v>72.559999999999988</v>
      </c>
      <c r="AE53" s="16">
        <f t="shared" si="54"/>
        <v>48.35693844</v>
      </c>
      <c r="AF53" s="16">
        <f t="shared" si="54"/>
        <v>3.5513663499999999</v>
      </c>
      <c r="AG53" s="16">
        <f t="shared" si="54"/>
        <v>43.36041531</v>
      </c>
      <c r="AH53" s="16">
        <f t="shared" si="54"/>
        <v>0</v>
      </c>
      <c r="AI53" s="16">
        <f t="shared" si="54"/>
        <v>1.4389101399999999</v>
      </c>
      <c r="AJ53" s="16">
        <f t="shared" si="54"/>
        <v>6.7544595300000001</v>
      </c>
      <c r="AK53" s="16">
        <f t="shared" si="54"/>
        <v>0.78748143000000004</v>
      </c>
      <c r="AL53" s="16">
        <f t="shared" si="54"/>
        <v>5.856978100000001</v>
      </c>
      <c r="AM53" s="16">
        <f t="shared" si="54"/>
        <v>0</v>
      </c>
      <c r="AN53" s="16">
        <f t="shared" si="54"/>
        <v>0.11</v>
      </c>
      <c r="AO53" s="16">
        <f t="shared" si="54"/>
        <v>6.3602855800000011</v>
      </c>
      <c r="AP53" s="16">
        <f t="shared" si="54"/>
        <v>0.30188142000000001</v>
      </c>
      <c r="AQ53" s="16">
        <f t="shared" si="54"/>
        <v>5.73152434</v>
      </c>
      <c r="AR53" s="16">
        <f t="shared" si="54"/>
        <v>0</v>
      </c>
      <c r="AS53" s="16">
        <f t="shared" si="54"/>
        <v>0.32687982000000004</v>
      </c>
      <c r="AT53" s="16">
        <f t="shared" si="54"/>
        <v>29.259946690000003</v>
      </c>
      <c r="AU53" s="16">
        <f t="shared" si="54"/>
        <v>2.3020035000000001</v>
      </c>
      <c r="AV53" s="16">
        <f t="shared" si="54"/>
        <v>26.202912869999995</v>
      </c>
      <c r="AW53" s="16">
        <f t="shared" si="54"/>
        <v>0</v>
      </c>
      <c r="AX53" s="16">
        <f t="shared" si="54"/>
        <v>0.75503032000000003</v>
      </c>
      <c r="AY53" s="16">
        <f t="shared" si="54"/>
        <v>5.9822466399999996</v>
      </c>
      <c r="AZ53" s="16">
        <f t="shared" si="54"/>
        <v>0.16</v>
      </c>
      <c r="BA53" s="16">
        <f t="shared" si="54"/>
        <v>5.569</v>
      </c>
      <c r="BB53" s="16">
        <f t="shared" si="54"/>
        <v>0</v>
      </c>
      <c r="BC53" s="16">
        <f t="shared" si="54"/>
        <v>0.247</v>
      </c>
    </row>
    <row r="54" spans="1:55" ht="31.5" x14ac:dyDescent="0.25">
      <c r="A54" s="66" t="s">
        <v>110</v>
      </c>
      <c r="B54" s="67" t="s">
        <v>111</v>
      </c>
      <c r="C54" s="66" t="s">
        <v>77</v>
      </c>
      <c r="D54" s="16">
        <f t="shared" ref="D54:AI54" si="55">SUM(D55:D97)</f>
        <v>90.523680000000027</v>
      </c>
      <c r="E54" s="16">
        <f t="shared" si="55"/>
        <v>66.477677043999989</v>
      </c>
      <c r="F54" s="16">
        <f t="shared" si="55"/>
        <v>4.3243378999999988</v>
      </c>
      <c r="G54" s="16">
        <f t="shared" si="55"/>
        <v>59.439615432000011</v>
      </c>
      <c r="H54" s="16">
        <f t="shared" si="55"/>
        <v>0</v>
      </c>
      <c r="I54" s="16">
        <f t="shared" si="55"/>
        <v>2.7105983759999996</v>
      </c>
      <c r="J54" s="16">
        <f t="shared" si="55"/>
        <v>19.511448655999999</v>
      </c>
      <c r="K54" s="16">
        <f t="shared" si="55"/>
        <v>1.0108760000000001</v>
      </c>
      <c r="L54" s="16">
        <f t="shared" si="55"/>
        <v>17.400906119999998</v>
      </c>
      <c r="M54" s="16">
        <f t="shared" si="55"/>
        <v>0</v>
      </c>
      <c r="N54" s="16">
        <f t="shared" si="55"/>
        <v>1.1057412</v>
      </c>
      <c r="O54" s="16">
        <f t="shared" si="55"/>
        <v>19.857500591999997</v>
      </c>
      <c r="P54" s="16">
        <f t="shared" si="55"/>
        <v>0.36225770400000001</v>
      </c>
      <c r="Q54" s="16">
        <f t="shared" si="55"/>
        <v>19.303510032000002</v>
      </c>
      <c r="R54" s="16">
        <f t="shared" si="55"/>
        <v>0</v>
      </c>
      <c r="S54" s="16">
        <f t="shared" si="55"/>
        <v>0.19173285600000001</v>
      </c>
      <c r="T54" s="16">
        <f t="shared" si="55"/>
        <v>14.323727795999996</v>
      </c>
      <c r="U54" s="16">
        <f t="shared" si="55"/>
        <v>2.5444041959999995</v>
      </c>
      <c r="V54" s="16">
        <f t="shared" si="55"/>
        <v>10.662599279999998</v>
      </c>
      <c r="W54" s="16">
        <f t="shared" si="55"/>
        <v>0</v>
      </c>
      <c r="X54" s="16">
        <f t="shared" si="55"/>
        <v>1.1167243199999999</v>
      </c>
      <c r="Y54" s="16">
        <f t="shared" si="55"/>
        <v>12.785000000000002</v>
      </c>
      <c r="Z54" s="16">
        <f t="shared" si="55"/>
        <v>0.40679999999999999</v>
      </c>
      <c r="AA54" s="16">
        <f t="shared" si="55"/>
        <v>12.072600000000001</v>
      </c>
      <c r="AB54" s="16">
        <f t="shared" si="55"/>
        <v>0</v>
      </c>
      <c r="AC54" s="16">
        <f t="shared" si="55"/>
        <v>0.2964</v>
      </c>
      <c r="AD54" s="16">
        <f t="shared" si="55"/>
        <v>72.559999999999988</v>
      </c>
      <c r="AE54" s="16">
        <f t="shared" si="55"/>
        <v>48.35693844</v>
      </c>
      <c r="AF54" s="16">
        <f t="shared" si="55"/>
        <v>3.5513663499999999</v>
      </c>
      <c r="AG54" s="16">
        <f t="shared" si="55"/>
        <v>43.36041531</v>
      </c>
      <c r="AH54" s="16">
        <f t="shared" si="55"/>
        <v>0</v>
      </c>
      <c r="AI54" s="16">
        <f t="shared" si="55"/>
        <v>1.4389101399999999</v>
      </c>
      <c r="AJ54" s="16">
        <f t="shared" ref="AJ54:BC54" si="56">SUM(AJ55:AJ97)</f>
        <v>6.7544595300000001</v>
      </c>
      <c r="AK54" s="16">
        <f t="shared" si="56"/>
        <v>0.78748143000000004</v>
      </c>
      <c r="AL54" s="16">
        <f t="shared" si="56"/>
        <v>5.856978100000001</v>
      </c>
      <c r="AM54" s="16">
        <f t="shared" si="56"/>
        <v>0</v>
      </c>
      <c r="AN54" s="16">
        <f t="shared" si="56"/>
        <v>0.11</v>
      </c>
      <c r="AO54" s="16">
        <f t="shared" si="56"/>
        <v>6.3602855800000011</v>
      </c>
      <c r="AP54" s="16">
        <f t="shared" si="56"/>
        <v>0.30188142000000001</v>
      </c>
      <c r="AQ54" s="16">
        <f t="shared" si="56"/>
        <v>5.73152434</v>
      </c>
      <c r="AR54" s="16">
        <f t="shared" si="56"/>
        <v>0</v>
      </c>
      <c r="AS54" s="16">
        <f t="shared" si="56"/>
        <v>0.32687982000000004</v>
      </c>
      <c r="AT54" s="16">
        <f t="shared" si="56"/>
        <v>29.259946690000003</v>
      </c>
      <c r="AU54" s="16">
        <f t="shared" si="56"/>
        <v>2.3020035000000001</v>
      </c>
      <c r="AV54" s="16">
        <f t="shared" si="56"/>
        <v>26.202912869999995</v>
      </c>
      <c r="AW54" s="16">
        <f t="shared" si="56"/>
        <v>0</v>
      </c>
      <c r="AX54" s="16">
        <f t="shared" si="56"/>
        <v>0.75503032000000003</v>
      </c>
      <c r="AY54" s="16">
        <f t="shared" si="56"/>
        <v>5.9822466399999996</v>
      </c>
      <c r="AZ54" s="16">
        <f t="shared" si="56"/>
        <v>0.16</v>
      </c>
      <c r="BA54" s="16">
        <f t="shared" si="56"/>
        <v>5.569</v>
      </c>
      <c r="BB54" s="16">
        <f t="shared" si="56"/>
        <v>0</v>
      </c>
      <c r="BC54" s="16">
        <f t="shared" si="56"/>
        <v>0.247</v>
      </c>
    </row>
    <row r="55" spans="1:55" ht="47.25" x14ac:dyDescent="0.25">
      <c r="A55" s="12" t="s">
        <v>112</v>
      </c>
      <c r="B55" s="43" t="s">
        <v>240</v>
      </c>
      <c r="C55" s="39" t="s">
        <v>185</v>
      </c>
      <c r="D55" s="19">
        <v>19.739999999999998</v>
      </c>
      <c r="E55" s="10">
        <f t="shared" ref="E55:I86" si="57">J55+O55+T55+Y55</f>
        <v>25.153442508000001</v>
      </c>
      <c r="F55" s="10">
        <f t="shared" si="57"/>
        <v>1.2779999999999998</v>
      </c>
      <c r="G55" s="10">
        <f t="shared" si="57"/>
        <v>23.147514984000001</v>
      </c>
      <c r="H55" s="10">
        <f t="shared" si="57"/>
        <v>0</v>
      </c>
      <c r="I55" s="10">
        <f t="shared" si="57"/>
        <v>0.72792752399999994</v>
      </c>
      <c r="J55" s="10">
        <v>0</v>
      </c>
      <c r="K55" s="10">
        <v>0</v>
      </c>
      <c r="L55" s="10">
        <v>0</v>
      </c>
      <c r="M55" s="10">
        <v>0</v>
      </c>
      <c r="N55" s="10">
        <v>0</v>
      </c>
      <c r="O55" s="10">
        <f t="shared" ref="O55:O96" si="58">SUM(P55:S55)</f>
        <v>12.855</v>
      </c>
      <c r="P55" s="10">
        <v>0</v>
      </c>
      <c r="Q55" s="10">
        <f>10.7125*1.2</f>
        <v>12.855</v>
      </c>
      <c r="R55" s="10">
        <v>0</v>
      </c>
      <c r="S55" s="10">
        <v>0</v>
      </c>
      <c r="T55" s="10">
        <f>SUM(U55:X55)</f>
        <v>7.4834425079999995</v>
      </c>
      <c r="U55" s="10">
        <f>1.065*1.2</f>
        <v>1.2779999999999998</v>
      </c>
      <c r="V55" s="10">
        <f>4.56459582*1.2</f>
        <v>5.4775149839999999</v>
      </c>
      <c r="W55" s="10">
        <v>0</v>
      </c>
      <c r="X55" s="10">
        <f>0.60660627*1.2</f>
        <v>0.72792752399999994</v>
      </c>
      <c r="Y55" s="17">
        <v>4.8150000000000004</v>
      </c>
      <c r="Z55" s="10">
        <v>0</v>
      </c>
      <c r="AA55" s="17">
        <v>4.8150000000000004</v>
      </c>
      <c r="AB55" s="10">
        <v>0</v>
      </c>
      <c r="AC55" s="10">
        <v>0</v>
      </c>
      <c r="AD55" s="19">
        <v>20.47</v>
      </c>
      <c r="AE55" s="10">
        <f>AJ55+AO55+AT55+AY55</f>
        <v>20.96252153</v>
      </c>
      <c r="AF55" s="10">
        <f>AK55+AP55+AU55+AZ55</f>
        <v>1.0649999999999999</v>
      </c>
      <c r="AG55" s="10">
        <f>AL55+AQ55+AV55+BA55</f>
        <v>19.290915259999998</v>
      </c>
      <c r="AH55" s="10">
        <f>AM55+AR55+AW55+BB55</f>
        <v>0</v>
      </c>
      <c r="AI55" s="10">
        <f>AN55+AS55+AX55+BC55</f>
        <v>0.60660627</v>
      </c>
      <c r="AJ55" s="10">
        <f>SUM(AK55:AN55)</f>
        <v>0</v>
      </c>
      <c r="AK55" s="10">
        <v>0</v>
      </c>
      <c r="AL55" s="10">
        <v>0</v>
      </c>
      <c r="AM55" s="10">
        <v>0</v>
      </c>
      <c r="AN55" s="10">
        <v>0</v>
      </c>
      <c r="AO55" s="10">
        <f>SUM(AP55:AS55)</f>
        <v>0</v>
      </c>
      <c r="AP55" s="10">
        <v>0</v>
      </c>
      <c r="AQ55" s="10">
        <v>0</v>
      </c>
      <c r="AR55" s="10">
        <v>0</v>
      </c>
      <c r="AS55" s="10">
        <v>0</v>
      </c>
      <c r="AT55" s="10">
        <f>SUM(AU55:AX55)</f>
        <v>20.96252153</v>
      </c>
      <c r="AU55" s="10">
        <v>1.0649999999999999</v>
      </c>
      <c r="AV55" s="10">
        <v>19.290915259999998</v>
      </c>
      <c r="AW55" s="10">
        <v>0</v>
      </c>
      <c r="AX55" s="10">
        <v>0.60660627</v>
      </c>
      <c r="AY55" s="10">
        <v>0</v>
      </c>
      <c r="AZ55" s="10">
        <v>0</v>
      </c>
      <c r="BA55" s="10">
        <v>0</v>
      </c>
      <c r="BB55" s="10">
        <v>0</v>
      </c>
      <c r="BC55" s="10">
        <v>0</v>
      </c>
    </row>
    <row r="56" spans="1:55" ht="31.5" x14ac:dyDescent="0.25">
      <c r="A56" s="12" t="s">
        <v>394</v>
      </c>
      <c r="B56" s="43" t="s">
        <v>339</v>
      </c>
      <c r="C56" s="40" t="s">
        <v>340</v>
      </c>
      <c r="D56" s="19">
        <v>2.0786799999999999</v>
      </c>
      <c r="E56" s="10">
        <f t="shared" ref="E56:E68" si="59">J56+O56+T56+Y56</f>
        <v>0</v>
      </c>
      <c r="F56" s="10">
        <f t="shared" ref="F56:F68" si="60">K56+P56+U56+Z56</f>
        <v>0</v>
      </c>
      <c r="G56" s="10">
        <f t="shared" ref="G56:G68" si="61">L56+Q56+V56+AA56</f>
        <v>0</v>
      </c>
      <c r="H56" s="10">
        <f t="shared" ref="H56:H68" si="62">M56+R56+W56+AB56</f>
        <v>0</v>
      </c>
      <c r="I56" s="10">
        <f t="shared" ref="I56:I68" si="63">N56+S56+X56+AC56</f>
        <v>0</v>
      </c>
      <c r="J56" s="10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9">
        <v>1.73</v>
      </c>
      <c r="AE56" s="10">
        <f t="shared" ref="AE56:AE68" si="64">AJ56+AO56+AT56+AY56</f>
        <v>0</v>
      </c>
      <c r="AF56" s="10">
        <f t="shared" ref="AF56:AF68" si="65">AK56+AP56+AU56+AZ56</f>
        <v>0</v>
      </c>
      <c r="AG56" s="10">
        <f t="shared" ref="AG56:AG68" si="66">AL56+AQ56+AV56+BA56</f>
        <v>0</v>
      </c>
      <c r="AH56" s="10">
        <f t="shared" ref="AH56:AH68" si="67">AM56+AR56+AW56+BB56</f>
        <v>0</v>
      </c>
      <c r="AI56" s="10">
        <f t="shared" ref="AI56:AI68" si="68">AN56+AS56+AX56+BC56</f>
        <v>0</v>
      </c>
      <c r="AJ56" s="10">
        <f t="shared" ref="AJ56:AJ64" si="69">SUM(AK56:AN56)</f>
        <v>0</v>
      </c>
      <c r="AK56" s="10">
        <v>0</v>
      </c>
      <c r="AL56" s="10">
        <v>0</v>
      </c>
      <c r="AM56" s="10">
        <v>0</v>
      </c>
      <c r="AN56" s="10">
        <v>0</v>
      </c>
      <c r="AO56" s="10">
        <f t="shared" ref="AO56:AO64" si="70">SUM(AP56:AS56)</f>
        <v>0</v>
      </c>
      <c r="AP56" s="10">
        <v>0</v>
      </c>
      <c r="AQ56" s="10">
        <v>0</v>
      </c>
      <c r="AR56" s="10">
        <v>0</v>
      </c>
      <c r="AS56" s="10">
        <v>0</v>
      </c>
      <c r="AT56" s="10">
        <v>0</v>
      </c>
      <c r="AU56" s="10">
        <v>0</v>
      </c>
      <c r="AV56" s="10">
        <v>0</v>
      </c>
      <c r="AW56" s="10">
        <v>0</v>
      </c>
      <c r="AX56" s="10">
        <v>0</v>
      </c>
      <c r="AY56" s="10">
        <v>0</v>
      </c>
      <c r="AZ56" s="10">
        <v>0</v>
      </c>
      <c r="BA56" s="10">
        <v>0</v>
      </c>
      <c r="BB56" s="10">
        <v>0</v>
      </c>
      <c r="BC56" s="10">
        <v>0</v>
      </c>
    </row>
    <row r="57" spans="1:55" ht="31.5" x14ac:dyDescent="0.25">
      <c r="A57" s="12" t="s">
        <v>395</v>
      </c>
      <c r="B57" s="48" t="s">
        <v>341</v>
      </c>
      <c r="C57" s="40" t="s">
        <v>342</v>
      </c>
      <c r="D57" s="19">
        <v>2.42</v>
      </c>
      <c r="E57" s="10">
        <f t="shared" si="59"/>
        <v>0</v>
      </c>
      <c r="F57" s="10">
        <f t="shared" si="60"/>
        <v>0</v>
      </c>
      <c r="G57" s="10">
        <f t="shared" si="61"/>
        <v>0</v>
      </c>
      <c r="H57" s="10">
        <f t="shared" si="62"/>
        <v>0</v>
      </c>
      <c r="I57" s="10">
        <f t="shared" si="63"/>
        <v>0</v>
      </c>
      <c r="J57" s="10">
        <v>0</v>
      </c>
      <c r="K57" s="10">
        <v>0</v>
      </c>
      <c r="L57" s="10">
        <v>0</v>
      </c>
      <c r="M57" s="10">
        <v>0</v>
      </c>
      <c r="N57" s="10"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9">
        <v>2.02</v>
      </c>
      <c r="AE57" s="10">
        <f t="shared" si="64"/>
        <v>0</v>
      </c>
      <c r="AF57" s="10">
        <f t="shared" si="65"/>
        <v>0</v>
      </c>
      <c r="AG57" s="10">
        <f t="shared" si="66"/>
        <v>0</v>
      </c>
      <c r="AH57" s="10">
        <f t="shared" si="67"/>
        <v>0</v>
      </c>
      <c r="AI57" s="10">
        <f t="shared" si="68"/>
        <v>0</v>
      </c>
      <c r="AJ57" s="10">
        <f t="shared" si="69"/>
        <v>0</v>
      </c>
      <c r="AK57" s="10">
        <v>0</v>
      </c>
      <c r="AL57" s="10">
        <v>0</v>
      </c>
      <c r="AM57" s="10">
        <v>0</v>
      </c>
      <c r="AN57" s="10">
        <v>0</v>
      </c>
      <c r="AO57" s="10">
        <f t="shared" si="70"/>
        <v>0</v>
      </c>
      <c r="AP57" s="10">
        <v>0</v>
      </c>
      <c r="AQ57" s="10">
        <v>0</v>
      </c>
      <c r="AR57" s="10">
        <v>0</v>
      </c>
      <c r="AS57" s="10">
        <v>0</v>
      </c>
      <c r="AT57" s="10">
        <v>0</v>
      </c>
      <c r="AU57" s="10">
        <v>0</v>
      </c>
      <c r="AV57" s="10">
        <v>0</v>
      </c>
      <c r="AW57" s="10">
        <v>0</v>
      </c>
      <c r="AX57" s="10">
        <v>0</v>
      </c>
      <c r="AY57" s="10">
        <v>0</v>
      </c>
      <c r="AZ57" s="10">
        <v>0</v>
      </c>
      <c r="BA57" s="10">
        <v>0</v>
      </c>
      <c r="BB57" s="10">
        <v>0</v>
      </c>
      <c r="BC57" s="10">
        <v>0</v>
      </c>
    </row>
    <row r="58" spans="1:55" ht="31.5" x14ac:dyDescent="0.25">
      <c r="A58" s="12" t="s">
        <v>396</v>
      </c>
      <c r="B58" s="43" t="s">
        <v>343</v>
      </c>
      <c r="C58" s="40" t="s">
        <v>344</v>
      </c>
      <c r="D58" s="19">
        <v>3.03</v>
      </c>
      <c r="E58" s="10">
        <f t="shared" si="59"/>
        <v>0</v>
      </c>
      <c r="F58" s="10">
        <f t="shared" si="60"/>
        <v>0</v>
      </c>
      <c r="G58" s="10">
        <f t="shared" si="61"/>
        <v>0</v>
      </c>
      <c r="H58" s="10">
        <f t="shared" si="62"/>
        <v>0</v>
      </c>
      <c r="I58" s="10">
        <f t="shared" si="63"/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9">
        <v>3.48</v>
      </c>
      <c r="AE58" s="10">
        <f t="shared" si="64"/>
        <v>0</v>
      </c>
      <c r="AF58" s="10">
        <f t="shared" si="65"/>
        <v>0</v>
      </c>
      <c r="AG58" s="10">
        <f t="shared" si="66"/>
        <v>0</v>
      </c>
      <c r="AH58" s="10">
        <f t="shared" si="67"/>
        <v>0</v>
      </c>
      <c r="AI58" s="10">
        <f t="shared" si="68"/>
        <v>0</v>
      </c>
      <c r="AJ58" s="10">
        <f t="shared" si="69"/>
        <v>0</v>
      </c>
      <c r="AK58" s="10">
        <v>0</v>
      </c>
      <c r="AL58" s="10">
        <v>0</v>
      </c>
      <c r="AM58" s="10">
        <v>0</v>
      </c>
      <c r="AN58" s="10">
        <v>0</v>
      </c>
      <c r="AO58" s="10">
        <f t="shared" si="70"/>
        <v>0</v>
      </c>
      <c r="AP58" s="10">
        <v>0</v>
      </c>
      <c r="AQ58" s="10">
        <v>0</v>
      </c>
      <c r="AR58" s="10">
        <v>0</v>
      </c>
      <c r="AS58" s="10">
        <v>0</v>
      </c>
      <c r="AT58" s="10">
        <v>0</v>
      </c>
      <c r="AU58" s="10">
        <v>0</v>
      </c>
      <c r="AV58" s="10">
        <v>0</v>
      </c>
      <c r="AW58" s="10">
        <v>0</v>
      </c>
      <c r="AX58" s="10">
        <v>0</v>
      </c>
      <c r="AY58" s="10">
        <v>0</v>
      </c>
      <c r="AZ58" s="10">
        <v>0</v>
      </c>
      <c r="BA58" s="10">
        <v>0</v>
      </c>
      <c r="BB58" s="10">
        <v>0</v>
      </c>
      <c r="BC58" s="10">
        <v>0</v>
      </c>
    </row>
    <row r="59" spans="1:55" ht="47.25" x14ac:dyDescent="0.25">
      <c r="A59" s="12" t="s">
        <v>113</v>
      </c>
      <c r="B59" s="43" t="s">
        <v>345</v>
      </c>
      <c r="C59" s="40" t="s">
        <v>346</v>
      </c>
      <c r="D59" s="19">
        <v>1.1200000000000001</v>
      </c>
      <c r="E59" s="10">
        <f t="shared" si="59"/>
        <v>0</v>
      </c>
      <c r="F59" s="10">
        <f t="shared" si="60"/>
        <v>0</v>
      </c>
      <c r="G59" s="10">
        <f t="shared" si="61"/>
        <v>0</v>
      </c>
      <c r="H59" s="10">
        <f t="shared" si="62"/>
        <v>0</v>
      </c>
      <c r="I59" s="10">
        <f t="shared" si="63"/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9">
        <v>0.93</v>
      </c>
      <c r="AE59" s="10">
        <f t="shared" si="64"/>
        <v>0</v>
      </c>
      <c r="AF59" s="10">
        <f t="shared" si="65"/>
        <v>0</v>
      </c>
      <c r="AG59" s="10">
        <f t="shared" si="66"/>
        <v>0</v>
      </c>
      <c r="AH59" s="10">
        <f t="shared" si="67"/>
        <v>0</v>
      </c>
      <c r="AI59" s="10">
        <f t="shared" si="68"/>
        <v>0</v>
      </c>
      <c r="AJ59" s="10">
        <f t="shared" si="69"/>
        <v>0</v>
      </c>
      <c r="AK59" s="10">
        <v>0</v>
      </c>
      <c r="AL59" s="10">
        <v>0</v>
      </c>
      <c r="AM59" s="10">
        <v>0</v>
      </c>
      <c r="AN59" s="10">
        <v>0</v>
      </c>
      <c r="AO59" s="10">
        <f t="shared" si="70"/>
        <v>0</v>
      </c>
      <c r="AP59" s="10">
        <v>0</v>
      </c>
      <c r="AQ59" s="10">
        <v>0</v>
      </c>
      <c r="AR59" s="10">
        <v>0</v>
      </c>
      <c r="AS59" s="10">
        <v>0</v>
      </c>
      <c r="AT59" s="10">
        <v>0</v>
      </c>
      <c r="AU59" s="10">
        <v>0</v>
      </c>
      <c r="AV59" s="10">
        <v>0</v>
      </c>
      <c r="AW59" s="10">
        <v>0</v>
      </c>
      <c r="AX59" s="10">
        <v>0</v>
      </c>
      <c r="AY59" s="10">
        <v>0</v>
      </c>
      <c r="AZ59" s="10">
        <v>0</v>
      </c>
      <c r="BA59" s="10">
        <v>0</v>
      </c>
      <c r="BB59" s="10">
        <v>0</v>
      </c>
      <c r="BC59" s="10">
        <v>0</v>
      </c>
    </row>
    <row r="60" spans="1:55" ht="47.25" x14ac:dyDescent="0.25">
      <c r="A60" s="12" t="s">
        <v>397</v>
      </c>
      <c r="B60" s="40" t="s">
        <v>347</v>
      </c>
      <c r="C60" s="40" t="s">
        <v>348</v>
      </c>
      <c r="D60" s="19">
        <v>0.14000000000000001</v>
      </c>
      <c r="E60" s="10">
        <f t="shared" si="59"/>
        <v>0</v>
      </c>
      <c r="F60" s="10">
        <f t="shared" si="60"/>
        <v>0</v>
      </c>
      <c r="G60" s="10">
        <f t="shared" si="61"/>
        <v>0</v>
      </c>
      <c r="H60" s="10">
        <f t="shared" si="62"/>
        <v>0</v>
      </c>
      <c r="I60" s="10">
        <f t="shared" si="63"/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9">
        <v>0.12</v>
      </c>
      <c r="AE60" s="10">
        <f t="shared" si="64"/>
        <v>0</v>
      </c>
      <c r="AF60" s="10">
        <f t="shared" si="65"/>
        <v>0</v>
      </c>
      <c r="AG60" s="10">
        <f t="shared" si="66"/>
        <v>0</v>
      </c>
      <c r="AH60" s="10">
        <f t="shared" si="67"/>
        <v>0</v>
      </c>
      <c r="AI60" s="10">
        <f t="shared" si="68"/>
        <v>0</v>
      </c>
      <c r="AJ60" s="10">
        <f t="shared" si="69"/>
        <v>0</v>
      </c>
      <c r="AK60" s="10">
        <v>0</v>
      </c>
      <c r="AL60" s="10">
        <v>0</v>
      </c>
      <c r="AM60" s="10">
        <v>0</v>
      </c>
      <c r="AN60" s="10">
        <v>0</v>
      </c>
      <c r="AO60" s="10">
        <f t="shared" si="70"/>
        <v>0</v>
      </c>
      <c r="AP60" s="10">
        <v>0</v>
      </c>
      <c r="AQ60" s="10">
        <v>0</v>
      </c>
      <c r="AR60" s="10">
        <v>0</v>
      </c>
      <c r="AS60" s="10">
        <v>0</v>
      </c>
      <c r="AT60" s="10">
        <v>0</v>
      </c>
      <c r="AU60" s="10">
        <v>0</v>
      </c>
      <c r="AV60" s="10">
        <v>0</v>
      </c>
      <c r="AW60" s="10">
        <v>0</v>
      </c>
      <c r="AX60" s="10">
        <v>0</v>
      </c>
      <c r="AY60" s="10">
        <v>0</v>
      </c>
      <c r="AZ60" s="10">
        <v>0</v>
      </c>
      <c r="BA60" s="10">
        <v>0</v>
      </c>
      <c r="BB60" s="10">
        <v>0</v>
      </c>
      <c r="BC60" s="10">
        <v>0</v>
      </c>
    </row>
    <row r="61" spans="1:55" ht="47.25" x14ac:dyDescent="0.25">
      <c r="A61" s="12" t="s">
        <v>398</v>
      </c>
      <c r="B61" s="40" t="s">
        <v>349</v>
      </c>
      <c r="C61" s="40" t="s">
        <v>350</v>
      </c>
      <c r="D61" s="19">
        <v>0.97</v>
      </c>
      <c r="E61" s="10">
        <f t="shared" si="59"/>
        <v>0</v>
      </c>
      <c r="F61" s="10">
        <f t="shared" si="60"/>
        <v>0</v>
      </c>
      <c r="G61" s="10">
        <f t="shared" si="61"/>
        <v>0</v>
      </c>
      <c r="H61" s="10">
        <f t="shared" si="62"/>
        <v>0</v>
      </c>
      <c r="I61" s="10">
        <f t="shared" si="63"/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9">
        <v>0.81</v>
      </c>
      <c r="AE61" s="10">
        <f t="shared" si="64"/>
        <v>0</v>
      </c>
      <c r="AF61" s="10">
        <f t="shared" si="65"/>
        <v>0</v>
      </c>
      <c r="AG61" s="10">
        <f t="shared" si="66"/>
        <v>0</v>
      </c>
      <c r="AH61" s="10">
        <f t="shared" si="67"/>
        <v>0</v>
      </c>
      <c r="AI61" s="10">
        <f t="shared" si="68"/>
        <v>0</v>
      </c>
      <c r="AJ61" s="10">
        <f t="shared" si="69"/>
        <v>0</v>
      </c>
      <c r="AK61" s="10">
        <v>0</v>
      </c>
      <c r="AL61" s="10">
        <v>0</v>
      </c>
      <c r="AM61" s="10">
        <v>0</v>
      </c>
      <c r="AN61" s="10">
        <v>0</v>
      </c>
      <c r="AO61" s="10">
        <f t="shared" si="70"/>
        <v>0</v>
      </c>
      <c r="AP61" s="10">
        <v>0</v>
      </c>
      <c r="AQ61" s="10">
        <v>0</v>
      </c>
      <c r="AR61" s="10">
        <v>0</v>
      </c>
      <c r="AS61" s="10">
        <v>0</v>
      </c>
      <c r="AT61" s="10">
        <v>0</v>
      </c>
      <c r="AU61" s="10">
        <v>0</v>
      </c>
      <c r="AV61" s="10">
        <v>0</v>
      </c>
      <c r="AW61" s="10">
        <v>0</v>
      </c>
      <c r="AX61" s="10">
        <v>0</v>
      </c>
      <c r="AY61" s="10">
        <v>0</v>
      </c>
      <c r="AZ61" s="10">
        <v>0</v>
      </c>
      <c r="BA61" s="10">
        <v>0</v>
      </c>
      <c r="BB61" s="10">
        <v>0</v>
      </c>
      <c r="BC61" s="10">
        <v>0</v>
      </c>
    </row>
    <row r="62" spans="1:55" ht="47.25" x14ac:dyDescent="0.25">
      <c r="A62" s="12" t="s">
        <v>114</v>
      </c>
      <c r="B62" s="49" t="s">
        <v>351</v>
      </c>
      <c r="C62" s="50" t="s">
        <v>352</v>
      </c>
      <c r="D62" s="19">
        <v>1.76</v>
      </c>
      <c r="E62" s="10">
        <f t="shared" si="59"/>
        <v>0</v>
      </c>
      <c r="F62" s="10">
        <f t="shared" si="60"/>
        <v>0</v>
      </c>
      <c r="G62" s="10">
        <f t="shared" si="61"/>
        <v>0</v>
      </c>
      <c r="H62" s="10">
        <f t="shared" si="62"/>
        <v>0</v>
      </c>
      <c r="I62" s="10">
        <f t="shared" si="63"/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9">
        <v>1.47</v>
      </c>
      <c r="AE62" s="10">
        <f t="shared" si="64"/>
        <v>0</v>
      </c>
      <c r="AF62" s="10">
        <f t="shared" si="65"/>
        <v>0</v>
      </c>
      <c r="AG62" s="10">
        <f t="shared" si="66"/>
        <v>0</v>
      </c>
      <c r="AH62" s="10">
        <f t="shared" si="67"/>
        <v>0</v>
      </c>
      <c r="AI62" s="10">
        <f t="shared" si="68"/>
        <v>0</v>
      </c>
      <c r="AJ62" s="10">
        <f t="shared" si="69"/>
        <v>0</v>
      </c>
      <c r="AK62" s="10">
        <v>0</v>
      </c>
      <c r="AL62" s="10">
        <v>0</v>
      </c>
      <c r="AM62" s="10">
        <v>0</v>
      </c>
      <c r="AN62" s="10">
        <v>0</v>
      </c>
      <c r="AO62" s="10">
        <f t="shared" si="70"/>
        <v>0</v>
      </c>
      <c r="AP62" s="10">
        <v>0</v>
      </c>
      <c r="AQ62" s="10">
        <v>0</v>
      </c>
      <c r="AR62" s="10">
        <v>0</v>
      </c>
      <c r="AS62" s="10">
        <v>0</v>
      </c>
      <c r="AT62" s="10">
        <v>0</v>
      </c>
      <c r="AU62" s="10">
        <v>0</v>
      </c>
      <c r="AV62" s="10">
        <v>0</v>
      </c>
      <c r="AW62" s="10">
        <v>0</v>
      </c>
      <c r="AX62" s="10">
        <v>0</v>
      </c>
      <c r="AY62" s="10">
        <v>0</v>
      </c>
      <c r="AZ62" s="10">
        <v>0</v>
      </c>
      <c r="BA62" s="10">
        <v>0</v>
      </c>
      <c r="BB62" s="10">
        <v>0</v>
      </c>
      <c r="BC62" s="10">
        <v>0</v>
      </c>
    </row>
    <row r="63" spans="1:55" ht="47.25" x14ac:dyDescent="0.25">
      <c r="A63" s="12" t="s">
        <v>399</v>
      </c>
      <c r="B63" s="49" t="s">
        <v>353</v>
      </c>
      <c r="C63" s="50" t="s">
        <v>354</v>
      </c>
      <c r="D63" s="19">
        <v>1.32</v>
      </c>
      <c r="E63" s="10">
        <f t="shared" si="59"/>
        <v>0</v>
      </c>
      <c r="F63" s="10">
        <f t="shared" si="60"/>
        <v>0</v>
      </c>
      <c r="G63" s="10">
        <f t="shared" si="61"/>
        <v>0</v>
      </c>
      <c r="H63" s="10">
        <f t="shared" si="62"/>
        <v>0</v>
      </c>
      <c r="I63" s="10">
        <f t="shared" si="63"/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9">
        <v>1.1000000000000001</v>
      </c>
      <c r="AE63" s="10">
        <f t="shared" si="64"/>
        <v>0</v>
      </c>
      <c r="AF63" s="10">
        <f t="shared" si="65"/>
        <v>0</v>
      </c>
      <c r="AG63" s="10">
        <f t="shared" si="66"/>
        <v>0</v>
      </c>
      <c r="AH63" s="10">
        <f t="shared" si="67"/>
        <v>0</v>
      </c>
      <c r="AI63" s="10">
        <f t="shared" si="68"/>
        <v>0</v>
      </c>
      <c r="AJ63" s="10">
        <f t="shared" si="69"/>
        <v>0</v>
      </c>
      <c r="AK63" s="10">
        <v>0</v>
      </c>
      <c r="AL63" s="10">
        <v>0</v>
      </c>
      <c r="AM63" s="10">
        <v>0</v>
      </c>
      <c r="AN63" s="10">
        <v>0</v>
      </c>
      <c r="AO63" s="10">
        <f t="shared" si="70"/>
        <v>0</v>
      </c>
      <c r="AP63" s="10">
        <v>0</v>
      </c>
      <c r="AQ63" s="10">
        <v>0</v>
      </c>
      <c r="AR63" s="10">
        <v>0</v>
      </c>
      <c r="AS63" s="10">
        <v>0</v>
      </c>
      <c r="AT63" s="10">
        <v>0</v>
      </c>
      <c r="AU63" s="10">
        <v>0</v>
      </c>
      <c r="AV63" s="10">
        <v>0</v>
      </c>
      <c r="AW63" s="10">
        <v>0</v>
      </c>
      <c r="AX63" s="10">
        <v>0</v>
      </c>
      <c r="AY63" s="10">
        <v>0</v>
      </c>
      <c r="AZ63" s="10">
        <v>0</v>
      </c>
      <c r="BA63" s="10">
        <v>0</v>
      </c>
      <c r="BB63" s="10">
        <v>0</v>
      </c>
      <c r="BC63" s="10">
        <v>0</v>
      </c>
    </row>
    <row r="64" spans="1:55" ht="47.25" x14ac:dyDescent="0.25">
      <c r="A64" s="12" t="s">
        <v>400</v>
      </c>
      <c r="B64" s="49" t="s">
        <v>355</v>
      </c>
      <c r="C64" s="50" t="s">
        <v>356</v>
      </c>
      <c r="D64" s="19">
        <v>1.81</v>
      </c>
      <c r="E64" s="10">
        <f t="shared" si="59"/>
        <v>0</v>
      </c>
      <c r="F64" s="10">
        <f t="shared" si="60"/>
        <v>0</v>
      </c>
      <c r="G64" s="10">
        <f t="shared" si="61"/>
        <v>0</v>
      </c>
      <c r="H64" s="10">
        <f t="shared" si="62"/>
        <v>0</v>
      </c>
      <c r="I64" s="10">
        <f t="shared" si="63"/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9">
        <v>1.51</v>
      </c>
      <c r="AE64" s="10">
        <f t="shared" si="64"/>
        <v>0</v>
      </c>
      <c r="AF64" s="10">
        <f t="shared" si="65"/>
        <v>0</v>
      </c>
      <c r="AG64" s="10">
        <f t="shared" si="66"/>
        <v>0</v>
      </c>
      <c r="AH64" s="10">
        <f t="shared" si="67"/>
        <v>0</v>
      </c>
      <c r="AI64" s="10">
        <f t="shared" si="68"/>
        <v>0</v>
      </c>
      <c r="AJ64" s="10">
        <f t="shared" si="69"/>
        <v>0</v>
      </c>
      <c r="AK64" s="10">
        <v>0</v>
      </c>
      <c r="AL64" s="10">
        <v>0</v>
      </c>
      <c r="AM64" s="10">
        <v>0</v>
      </c>
      <c r="AN64" s="10">
        <v>0</v>
      </c>
      <c r="AO64" s="10">
        <f t="shared" si="70"/>
        <v>0</v>
      </c>
      <c r="AP64" s="10">
        <v>0</v>
      </c>
      <c r="AQ64" s="10">
        <v>0</v>
      </c>
      <c r="AR64" s="10">
        <v>0</v>
      </c>
      <c r="AS64" s="10">
        <v>0</v>
      </c>
      <c r="AT64" s="10">
        <v>0</v>
      </c>
      <c r="AU64" s="10">
        <v>0</v>
      </c>
      <c r="AV64" s="10">
        <v>0</v>
      </c>
      <c r="AW64" s="10">
        <v>0</v>
      </c>
      <c r="AX64" s="10">
        <v>0</v>
      </c>
      <c r="AY64" s="10">
        <v>0</v>
      </c>
      <c r="AZ64" s="10">
        <v>0</v>
      </c>
      <c r="BA64" s="10">
        <v>0</v>
      </c>
      <c r="BB64" s="10">
        <v>0</v>
      </c>
      <c r="BC64" s="10">
        <v>0</v>
      </c>
    </row>
    <row r="65" spans="1:55" ht="75" x14ac:dyDescent="0.25">
      <c r="A65" s="12" t="s">
        <v>401</v>
      </c>
      <c r="B65" s="51" t="s">
        <v>377</v>
      </c>
      <c r="C65" s="12" t="s">
        <v>378</v>
      </c>
      <c r="D65" s="19" t="s">
        <v>91</v>
      </c>
      <c r="E65" s="10">
        <f t="shared" ref="E65:E66" si="71">J65+O65+T65+Y65</f>
        <v>0.35</v>
      </c>
      <c r="F65" s="10">
        <f t="shared" ref="F65:F66" si="72">K65+P65+U65+Z65</f>
        <v>0</v>
      </c>
      <c r="G65" s="10">
        <f t="shared" ref="G65:G66" si="73">L65+Q65+V65+AA65</f>
        <v>0.35</v>
      </c>
      <c r="H65" s="10">
        <f t="shared" ref="H65:H66" si="74">M65+R65+W65+AB65</f>
        <v>0</v>
      </c>
      <c r="I65" s="10">
        <f t="shared" ref="I65:I66" si="75">N65+S65+X65+AC65</f>
        <v>0</v>
      </c>
      <c r="J65" s="10">
        <v>0</v>
      </c>
      <c r="K65" s="10">
        <v>0</v>
      </c>
      <c r="L65" s="10">
        <v>0</v>
      </c>
      <c r="M65" s="10">
        <v>0</v>
      </c>
      <c r="N65" s="10"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0.35</v>
      </c>
      <c r="Z65" s="10">
        <v>0</v>
      </c>
      <c r="AA65" s="10">
        <v>0.35</v>
      </c>
      <c r="AB65" s="10">
        <v>0</v>
      </c>
      <c r="AC65" s="10">
        <v>0</v>
      </c>
      <c r="AD65" s="19" t="s">
        <v>91</v>
      </c>
      <c r="AE65" s="10">
        <f t="shared" ref="AE65:AE66" si="76">AJ65+AO65+AT65+AY65</f>
        <v>0.29399999999999998</v>
      </c>
      <c r="AF65" s="10">
        <f t="shared" ref="AF65:AF66" si="77">AK65+AP65+AU65+AZ65</f>
        <v>0</v>
      </c>
      <c r="AG65" s="10">
        <f t="shared" ref="AG65:AG66" si="78">AL65+AQ65+AV65+BA65</f>
        <v>0.28999999999999998</v>
      </c>
      <c r="AH65" s="10">
        <f t="shared" ref="AH65:AH66" si="79">AM65+AR65+AW65+BB65</f>
        <v>0</v>
      </c>
      <c r="AI65" s="10">
        <f t="shared" ref="AI65:AI66" si="80">AN65+AS65+AX65+BC65</f>
        <v>0</v>
      </c>
      <c r="AJ65" s="10">
        <f t="shared" ref="AJ65:AJ66" si="81">SUM(AK65:AN65)</f>
        <v>0</v>
      </c>
      <c r="AK65" s="10">
        <v>0</v>
      </c>
      <c r="AL65" s="10">
        <v>0</v>
      </c>
      <c r="AM65" s="10">
        <v>0</v>
      </c>
      <c r="AN65" s="10">
        <v>0</v>
      </c>
      <c r="AO65" s="10">
        <f t="shared" ref="AO65:AO66" si="82">SUM(AP65:AS65)</f>
        <v>0</v>
      </c>
      <c r="AP65" s="10">
        <v>0</v>
      </c>
      <c r="AQ65" s="10">
        <v>0</v>
      </c>
      <c r="AR65" s="10">
        <v>0</v>
      </c>
      <c r="AS65" s="10">
        <v>0</v>
      </c>
      <c r="AT65" s="10">
        <v>0</v>
      </c>
      <c r="AU65" s="10">
        <v>0</v>
      </c>
      <c r="AV65" s="10">
        <v>0</v>
      </c>
      <c r="AW65" s="10">
        <v>0</v>
      </c>
      <c r="AX65" s="10">
        <v>0</v>
      </c>
      <c r="AY65" s="10">
        <v>0.29399999999999998</v>
      </c>
      <c r="AZ65" s="10">
        <v>0</v>
      </c>
      <c r="BA65" s="10">
        <v>0.28999999999999998</v>
      </c>
      <c r="BB65" s="10">
        <v>0</v>
      </c>
      <c r="BC65" s="10">
        <v>0</v>
      </c>
    </row>
    <row r="66" spans="1:55" ht="56.25" x14ac:dyDescent="0.25">
      <c r="A66" s="12" t="s">
        <v>115</v>
      </c>
      <c r="B66" s="52" t="s">
        <v>379</v>
      </c>
      <c r="C66" s="12" t="s">
        <v>380</v>
      </c>
      <c r="D66" s="19" t="s">
        <v>91</v>
      </c>
      <c r="E66" s="10">
        <f t="shared" si="71"/>
        <v>0.84</v>
      </c>
      <c r="F66" s="10">
        <f t="shared" si="72"/>
        <v>0.19</v>
      </c>
      <c r="G66" s="10">
        <f t="shared" si="73"/>
        <v>0.64800000000000002</v>
      </c>
      <c r="H66" s="10">
        <f t="shared" si="74"/>
        <v>0</v>
      </c>
      <c r="I66" s="10">
        <f t="shared" si="75"/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0.84</v>
      </c>
      <c r="Z66" s="10">
        <v>0.19</v>
      </c>
      <c r="AA66" s="10">
        <v>0.64800000000000002</v>
      </c>
      <c r="AB66" s="10">
        <v>0</v>
      </c>
      <c r="AC66" s="10">
        <v>0</v>
      </c>
      <c r="AD66" s="19" t="s">
        <v>91</v>
      </c>
      <c r="AE66" s="10">
        <f t="shared" si="76"/>
        <v>0.70039205000000004</v>
      </c>
      <c r="AF66" s="10">
        <f t="shared" si="77"/>
        <v>0.16</v>
      </c>
      <c r="AG66" s="10">
        <f t="shared" si="78"/>
        <v>0.54</v>
      </c>
      <c r="AH66" s="10">
        <f t="shared" si="79"/>
        <v>0</v>
      </c>
      <c r="AI66" s="10">
        <f t="shared" si="80"/>
        <v>0</v>
      </c>
      <c r="AJ66" s="10">
        <f t="shared" si="81"/>
        <v>0</v>
      </c>
      <c r="AK66" s="10">
        <v>0</v>
      </c>
      <c r="AL66" s="10">
        <v>0</v>
      </c>
      <c r="AM66" s="10">
        <v>0</v>
      </c>
      <c r="AN66" s="10">
        <v>0</v>
      </c>
      <c r="AO66" s="10">
        <f t="shared" si="82"/>
        <v>0</v>
      </c>
      <c r="AP66" s="10">
        <v>0</v>
      </c>
      <c r="AQ66" s="10">
        <v>0</v>
      </c>
      <c r="AR66" s="10">
        <v>0</v>
      </c>
      <c r="AS66" s="10">
        <v>0</v>
      </c>
      <c r="AT66" s="10">
        <v>0</v>
      </c>
      <c r="AU66" s="10">
        <v>0</v>
      </c>
      <c r="AV66" s="10">
        <v>0</v>
      </c>
      <c r="AW66" s="10">
        <v>0</v>
      </c>
      <c r="AX66" s="10">
        <v>0</v>
      </c>
      <c r="AY66" s="10">
        <v>0.70039205000000004</v>
      </c>
      <c r="AZ66" s="10">
        <v>0.16</v>
      </c>
      <c r="BA66" s="10">
        <v>0.54</v>
      </c>
      <c r="BB66" s="10">
        <v>0</v>
      </c>
      <c r="BC66" s="10">
        <v>0</v>
      </c>
    </row>
    <row r="67" spans="1:55" ht="31.5" x14ac:dyDescent="0.25">
      <c r="A67" s="12" t="s">
        <v>116</v>
      </c>
      <c r="B67" s="40" t="s">
        <v>241</v>
      </c>
      <c r="C67" s="40" t="s">
        <v>242</v>
      </c>
      <c r="D67" s="19">
        <v>7.32</v>
      </c>
      <c r="E67" s="10">
        <f t="shared" si="59"/>
        <v>0.89640419999999998</v>
      </c>
      <c r="F67" s="10">
        <f t="shared" si="60"/>
        <v>0.89640419999999998</v>
      </c>
      <c r="G67" s="10">
        <f t="shared" si="61"/>
        <v>0</v>
      </c>
      <c r="H67" s="10">
        <f t="shared" si="62"/>
        <v>0</v>
      </c>
      <c r="I67" s="10">
        <f t="shared" si="63"/>
        <v>0</v>
      </c>
      <c r="J67" s="10">
        <v>0</v>
      </c>
      <c r="K67" s="10">
        <v>0</v>
      </c>
      <c r="L67" s="10">
        <v>0</v>
      </c>
      <c r="M67" s="10">
        <v>0</v>
      </c>
      <c r="N67" s="10">
        <v>0</v>
      </c>
      <c r="O67" s="10">
        <f t="shared" si="58"/>
        <v>0</v>
      </c>
      <c r="P67" s="10">
        <v>0</v>
      </c>
      <c r="Q67" s="10">
        <v>0</v>
      </c>
      <c r="R67" s="10">
        <v>0</v>
      </c>
      <c r="S67" s="10">
        <v>0</v>
      </c>
      <c r="T67" s="10">
        <f t="shared" ref="T67:T97" si="83">SUM(U67:X67)</f>
        <v>0.89640419999999998</v>
      </c>
      <c r="U67" s="10">
        <f>0.7470035*1.2</f>
        <v>0.89640419999999998</v>
      </c>
      <c r="V67" s="10">
        <v>0</v>
      </c>
      <c r="W67" s="10">
        <v>0</v>
      </c>
      <c r="X67" s="10">
        <v>0</v>
      </c>
      <c r="Y67" s="17">
        <v>0</v>
      </c>
      <c r="Z67" s="10">
        <v>0</v>
      </c>
      <c r="AA67" s="10">
        <v>0</v>
      </c>
      <c r="AB67" s="10">
        <v>0</v>
      </c>
      <c r="AC67" s="10">
        <v>0</v>
      </c>
      <c r="AD67" s="19">
        <v>6.1</v>
      </c>
      <c r="AE67" s="10">
        <f t="shared" si="64"/>
        <v>0.74700350000000004</v>
      </c>
      <c r="AF67" s="10">
        <f t="shared" si="65"/>
        <v>0.74700350000000004</v>
      </c>
      <c r="AG67" s="10">
        <f t="shared" si="66"/>
        <v>0</v>
      </c>
      <c r="AH67" s="10">
        <f t="shared" si="67"/>
        <v>0</v>
      </c>
      <c r="AI67" s="10">
        <f t="shared" si="68"/>
        <v>0</v>
      </c>
      <c r="AJ67" s="10">
        <f t="shared" ref="AJ67:AJ97" si="84">SUM(AK67:AN67)</f>
        <v>0</v>
      </c>
      <c r="AK67" s="10">
        <v>0</v>
      </c>
      <c r="AL67" s="10">
        <v>0</v>
      </c>
      <c r="AM67" s="10">
        <v>0</v>
      </c>
      <c r="AN67" s="10">
        <v>0</v>
      </c>
      <c r="AO67" s="10">
        <f t="shared" ref="AO67:AO97" si="85">SUM(AP67:AS67)</f>
        <v>0</v>
      </c>
      <c r="AP67" s="10">
        <v>0</v>
      </c>
      <c r="AQ67" s="10">
        <v>0</v>
      </c>
      <c r="AR67" s="10">
        <v>0</v>
      </c>
      <c r="AS67" s="10">
        <v>0</v>
      </c>
      <c r="AT67" s="10">
        <f t="shared" ref="AT67:AT97" si="86">SUM(AU67:AX67)</f>
        <v>0.74700350000000004</v>
      </c>
      <c r="AU67" s="10">
        <v>0.74700350000000004</v>
      </c>
      <c r="AV67" s="10">
        <v>0</v>
      </c>
      <c r="AW67" s="10">
        <v>0</v>
      </c>
      <c r="AX67" s="10">
        <v>0</v>
      </c>
      <c r="AY67" s="10">
        <v>0</v>
      </c>
      <c r="AZ67" s="10">
        <v>0</v>
      </c>
      <c r="BA67" s="10">
        <v>0</v>
      </c>
      <c r="BB67" s="10">
        <v>0</v>
      </c>
      <c r="BC67" s="10">
        <v>0</v>
      </c>
    </row>
    <row r="68" spans="1:55" ht="31.5" x14ac:dyDescent="0.25">
      <c r="A68" s="12" t="s">
        <v>117</v>
      </c>
      <c r="B68" s="48" t="s">
        <v>243</v>
      </c>
      <c r="C68" s="40" t="s">
        <v>244</v>
      </c>
      <c r="D68" s="19">
        <v>0.88500000000000001</v>
      </c>
      <c r="E68" s="10">
        <f t="shared" si="59"/>
        <v>0</v>
      </c>
      <c r="F68" s="10">
        <f t="shared" si="60"/>
        <v>0</v>
      </c>
      <c r="G68" s="10">
        <f t="shared" si="61"/>
        <v>0</v>
      </c>
      <c r="H68" s="10">
        <f t="shared" si="62"/>
        <v>0</v>
      </c>
      <c r="I68" s="10">
        <f t="shared" si="63"/>
        <v>0</v>
      </c>
      <c r="J68" s="10">
        <v>0</v>
      </c>
      <c r="K68" s="10">
        <v>0</v>
      </c>
      <c r="L68" s="10">
        <v>0</v>
      </c>
      <c r="M68" s="10">
        <v>0</v>
      </c>
      <c r="N68" s="10"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9">
        <v>0.74</v>
      </c>
      <c r="AE68" s="10">
        <f t="shared" si="64"/>
        <v>0</v>
      </c>
      <c r="AF68" s="10">
        <f t="shared" si="65"/>
        <v>0</v>
      </c>
      <c r="AG68" s="10">
        <f t="shared" si="66"/>
        <v>0</v>
      </c>
      <c r="AH68" s="10">
        <f t="shared" si="67"/>
        <v>0</v>
      </c>
      <c r="AI68" s="10">
        <f t="shared" si="68"/>
        <v>0</v>
      </c>
      <c r="AJ68" s="10">
        <f t="shared" ref="AJ68" si="87">SUM(AK68:AN68)</f>
        <v>0</v>
      </c>
      <c r="AK68" s="10">
        <v>0</v>
      </c>
      <c r="AL68" s="10">
        <v>0</v>
      </c>
      <c r="AM68" s="10">
        <v>0</v>
      </c>
      <c r="AN68" s="10">
        <v>0</v>
      </c>
      <c r="AO68" s="10">
        <f t="shared" ref="AO68" si="88">SUM(AP68:AS68)</f>
        <v>0</v>
      </c>
      <c r="AP68" s="10">
        <v>0</v>
      </c>
      <c r="AQ68" s="10">
        <v>0</v>
      </c>
      <c r="AR68" s="10">
        <v>0</v>
      </c>
      <c r="AS68" s="10">
        <v>0</v>
      </c>
      <c r="AT68" s="10">
        <f t="shared" ref="AT68" si="89">SUM(AU68:AX68)</f>
        <v>0</v>
      </c>
      <c r="AU68" s="10">
        <v>0</v>
      </c>
      <c r="AV68" s="10">
        <v>0</v>
      </c>
      <c r="AW68" s="10">
        <v>0</v>
      </c>
      <c r="AX68" s="10">
        <v>0</v>
      </c>
      <c r="AY68" s="10">
        <v>0</v>
      </c>
      <c r="AZ68" s="10">
        <v>0</v>
      </c>
      <c r="BA68" s="10">
        <v>0</v>
      </c>
      <c r="BB68" s="10">
        <v>0</v>
      </c>
      <c r="BC68" s="10">
        <v>0</v>
      </c>
    </row>
    <row r="69" spans="1:55" ht="47.25" x14ac:dyDescent="0.25">
      <c r="A69" s="12" t="s">
        <v>118</v>
      </c>
      <c r="B69" s="43" t="s">
        <v>245</v>
      </c>
      <c r="C69" s="12" t="s">
        <v>277</v>
      </c>
      <c r="D69" s="19">
        <v>3.35</v>
      </c>
      <c r="E69" s="10">
        <f t="shared" si="57"/>
        <v>3.3450000000000002</v>
      </c>
      <c r="F69" s="10">
        <f t="shared" si="57"/>
        <v>0</v>
      </c>
      <c r="G69" s="10">
        <f t="shared" si="57"/>
        <v>3.35</v>
      </c>
      <c r="H69" s="10">
        <f t="shared" si="57"/>
        <v>0</v>
      </c>
      <c r="I69" s="10">
        <f t="shared" si="57"/>
        <v>0</v>
      </c>
      <c r="J69" s="10">
        <v>3.3450000000000002</v>
      </c>
      <c r="K69" s="10">
        <v>0</v>
      </c>
      <c r="L69" s="10">
        <v>3.35</v>
      </c>
      <c r="M69" s="10">
        <v>0</v>
      </c>
      <c r="N69" s="10">
        <v>0</v>
      </c>
      <c r="O69" s="10">
        <f t="shared" si="58"/>
        <v>0</v>
      </c>
      <c r="P69" s="10">
        <v>0</v>
      </c>
      <c r="Q69" s="10">
        <v>0</v>
      </c>
      <c r="R69" s="10">
        <v>0</v>
      </c>
      <c r="S69" s="10">
        <v>0</v>
      </c>
      <c r="T69" s="10">
        <f t="shared" si="83"/>
        <v>0</v>
      </c>
      <c r="U69" s="10">
        <v>0</v>
      </c>
      <c r="V69" s="10">
        <v>0</v>
      </c>
      <c r="W69" s="10">
        <v>0</v>
      </c>
      <c r="X69" s="10">
        <v>0</v>
      </c>
      <c r="Y69" s="17">
        <v>0</v>
      </c>
      <c r="Z69" s="10">
        <v>0</v>
      </c>
      <c r="AA69" s="10">
        <v>0</v>
      </c>
      <c r="AB69" s="10">
        <v>0</v>
      </c>
      <c r="AC69" s="10">
        <v>0</v>
      </c>
      <c r="AD69" s="19" t="s">
        <v>91</v>
      </c>
      <c r="AE69" s="10">
        <f t="shared" ref="AE69:AE97" si="90">AJ69+AO69+AT69+AY69</f>
        <v>0</v>
      </c>
      <c r="AF69" s="10">
        <f t="shared" ref="AF69:AF97" si="91">AK69+AP69+AU69+AZ69</f>
        <v>0</v>
      </c>
      <c r="AG69" s="10">
        <f t="shared" ref="AG69:AG97" si="92">AL69+AQ69+AV69+BA69</f>
        <v>0</v>
      </c>
      <c r="AH69" s="10">
        <f t="shared" ref="AH69:AH97" si="93">AM69+AR69+AW69+BB69</f>
        <v>0</v>
      </c>
      <c r="AI69" s="10">
        <f t="shared" ref="AI69:AI97" si="94">AN69+AS69+AX69+BC69</f>
        <v>0</v>
      </c>
      <c r="AJ69" s="10">
        <f t="shared" si="84"/>
        <v>0</v>
      </c>
      <c r="AK69" s="10">
        <v>0</v>
      </c>
      <c r="AL69" s="10">
        <v>0</v>
      </c>
      <c r="AM69" s="10">
        <v>0</v>
      </c>
      <c r="AN69" s="10">
        <v>0</v>
      </c>
      <c r="AO69" s="10">
        <f t="shared" si="85"/>
        <v>0</v>
      </c>
      <c r="AP69" s="10">
        <v>0</v>
      </c>
      <c r="AQ69" s="10">
        <v>0</v>
      </c>
      <c r="AR69" s="10">
        <v>0</v>
      </c>
      <c r="AS69" s="10">
        <v>0</v>
      </c>
      <c r="AT69" s="10">
        <f t="shared" si="86"/>
        <v>0</v>
      </c>
      <c r="AU69" s="10">
        <v>0</v>
      </c>
      <c r="AV69" s="10">
        <v>0</v>
      </c>
      <c r="AW69" s="10">
        <v>0</v>
      </c>
      <c r="AX69" s="10">
        <v>0</v>
      </c>
      <c r="AY69" s="10">
        <v>0</v>
      </c>
      <c r="AZ69" s="10">
        <v>0</v>
      </c>
      <c r="BA69" s="10">
        <v>0</v>
      </c>
      <c r="BB69" s="10">
        <v>0</v>
      </c>
      <c r="BC69" s="10">
        <v>0</v>
      </c>
    </row>
    <row r="70" spans="1:55" ht="63" x14ac:dyDescent="0.25">
      <c r="A70" s="12" t="s">
        <v>119</v>
      </c>
      <c r="B70" s="40" t="s">
        <v>324</v>
      </c>
      <c r="C70" s="42" t="s">
        <v>325</v>
      </c>
      <c r="D70" s="19">
        <v>3.17</v>
      </c>
      <c r="E70" s="10">
        <f t="shared" si="57"/>
        <v>3.1139012079999997</v>
      </c>
      <c r="F70" s="10">
        <f t="shared" si="57"/>
        <v>0.369999996</v>
      </c>
      <c r="G70" s="10">
        <f t="shared" si="57"/>
        <v>2.6535012120000001</v>
      </c>
      <c r="H70" s="10">
        <f t="shared" si="57"/>
        <v>0</v>
      </c>
      <c r="I70" s="10">
        <f t="shared" si="57"/>
        <v>9.2399999999999996E-2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f t="shared" si="58"/>
        <v>0</v>
      </c>
      <c r="P70" s="10">
        <v>0</v>
      </c>
      <c r="Q70" s="10">
        <v>0</v>
      </c>
      <c r="R70" s="10">
        <v>0</v>
      </c>
      <c r="S70" s="10">
        <v>0</v>
      </c>
      <c r="T70" s="10">
        <f t="shared" si="83"/>
        <v>2.1139012079999997</v>
      </c>
      <c r="U70" s="10">
        <f>0.30833333*1.2</f>
        <v>0.369999996</v>
      </c>
      <c r="V70" s="10">
        <f>1.45325101*1.2</f>
        <v>1.7439012119999999</v>
      </c>
      <c r="W70" s="10">
        <v>0</v>
      </c>
      <c r="X70" s="10">
        <v>0</v>
      </c>
      <c r="Y70" s="17">
        <v>1</v>
      </c>
      <c r="Z70" s="10">
        <v>0</v>
      </c>
      <c r="AA70" s="10">
        <v>0.90959999999999996</v>
      </c>
      <c r="AB70" s="10">
        <v>0</v>
      </c>
      <c r="AC70" s="10">
        <v>9.2399999999999996E-2</v>
      </c>
      <c r="AD70" s="19">
        <v>3.17</v>
      </c>
      <c r="AE70" s="10">
        <f t="shared" si="90"/>
        <v>2.5975435600000001</v>
      </c>
      <c r="AF70" s="10">
        <f t="shared" si="91"/>
        <v>0.30833333000000002</v>
      </c>
      <c r="AG70" s="10">
        <f t="shared" si="92"/>
        <v>2.21325101</v>
      </c>
      <c r="AH70" s="10">
        <f t="shared" si="93"/>
        <v>0</v>
      </c>
      <c r="AI70" s="10">
        <f t="shared" si="94"/>
        <v>7.6999999999999999E-2</v>
      </c>
      <c r="AJ70" s="10">
        <f t="shared" ref="AJ70:AJ72" si="95">SUM(AK70:AN70)</f>
        <v>0</v>
      </c>
      <c r="AK70" s="10">
        <v>0</v>
      </c>
      <c r="AL70" s="10">
        <v>0</v>
      </c>
      <c r="AM70" s="10">
        <v>0</v>
      </c>
      <c r="AN70" s="10">
        <v>0</v>
      </c>
      <c r="AO70" s="10">
        <f t="shared" si="85"/>
        <v>0</v>
      </c>
      <c r="AP70" s="10">
        <v>0</v>
      </c>
      <c r="AQ70" s="10">
        <v>0</v>
      </c>
      <c r="AR70" s="10">
        <v>0</v>
      </c>
      <c r="AS70" s="10">
        <v>0</v>
      </c>
      <c r="AT70" s="10">
        <f t="shared" si="86"/>
        <v>1.76158434</v>
      </c>
      <c r="AU70" s="10">
        <v>0.30833333000000002</v>
      </c>
      <c r="AV70" s="10">
        <v>1.45325101</v>
      </c>
      <c r="AW70" s="10">
        <v>0</v>
      </c>
      <c r="AX70" s="10">
        <v>0</v>
      </c>
      <c r="AY70" s="10">
        <v>0.83595922</v>
      </c>
      <c r="AZ70" s="10">
        <v>0</v>
      </c>
      <c r="BA70" s="10">
        <v>0.76</v>
      </c>
      <c r="BB70" s="10">
        <v>0</v>
      </c>
      <c r="BC70" s="10">
        <v>7.6999999999999999E-2</v>
      </c>
    </row>
    <row r="71" spans="1:55" ht="47.25" x14ac:dyDescent="0.25">
      <c r="A71" s="12" t="s">
        <v>120</v>
      </c>
      <c r="B71" s="40" t="s">
        <v>326</v>
      </c>
      <c r="C71" s="42" t="s">
        <v>327</v>
      </c>
      <c r="D71" s="19">
        <v>0.97</v>
      </c>
      <c r="E71" s="10">
        <f t="shared" si="57"/>
        <v>1.235839608</v>
      </c>
      <c r="F71" s="10">
        <f t="shared" si="57"/>
        <v>0.14000000000000001</v>
      </c>
      <c r="G71" s="10">
        <f t="shared" si="57"/>
        <v>1.0608</v>
      </c>
      <c r="H71" s="10">
        <f t="shared" si="57"/>
        <v>0</v>
      </c>
      <c r="I71" s="10">
        <f t="shared" si="57"/>
        <v>3.5839608000000002E-2</v>
      </c>
      <c r="J71" s="10">
        <v>0</v>
      </c>
      <c r="K71" s="10">
        <v>0</v>
      </c>
      <c r="L71" s="10">
        <v>0</v>
      </c>
      <c r="M71" s="10">
        <v>0</v>
      </c>
      <c r="N71" s="10">
        <v>0</v>
      </c>
      <c r="O71" s="10">
        <f t="shared" si="58"/>
        <v>0</v>
      </c>
      <c r="P71" s="10">
        <v>0</v>
      </c>
      <c r="Q71" s="10">
        <v>0</v>
      </c>
      <c r="R71" s="10">
        <v>0</v>
      </c>
      <c r="S71" s="10">
        <v>0</v>
      </c>
      <c r="T71" s="10">
        <f t="shared" si="83"/>
        <v>3.5839608000000002E-2</v>
      </c>
      <c r="U71" s="10">
        <v>0</v>
      </c>
      <c r="V71" s="10">
        <v>0</v>
      </c>
      <c r="W71" s="10">
        <v>0</v>
      </c>
      <c r="X71" s="10">
        <f>0.02986634*1.2</f>
        <v>3.5839608000000002E-2</v>
      </c>
      <c r="Y71" s="17">
        <v>1.2</v>
      </c>
      <c r="Z71" s="10">
        <v>0.14000000000000001</v>
      </c>
      <c r="AA71" s="10">
        <v>1.0608</v>
      </c>
      <c r="AB71" s="10">
        <v>0</v>
      </c>
      <c r="AC71" s="10">
        <v>0</v>
      </c>
      <c r="AD71" s="19">
        <v>0.81</v>
      </c>
      <c r="AE71" s="10">
        <f t="shared" si="90"/>
        <v>1.0320924100000002</v>
      </c>
      <c r="AF71" s="10">
        <f t="shared" si="91"/>
        <v>0.11749999999999999</v>
      </c>
      <c r="AG71" s="10">
        <f t="shared" si="92"/>
        <v>0.88472607000000003</v>
      </c>
      <c r="AH71" s="10">
        <f t="shared" si="93"/>
        <v>0</v>
      </c>
      <c r="AI71" s="10">
        <f t="shared" si="94"/>
        <v>2.9866340000000002E-2</v>
      </c>
      <c r="AJ71" s="10">
        <f t="shared" si="95"/>
        <v>0</v>
      </c>
      <c r="AK71" s="10">
        <v>0</v>
      </c>
      <c r="AL71" s="10">
        <v>0</v>
      </c>
      <c r="AM71" s="10">
        <v>0</v>
      </c>
      <c r="AN71" s="10">
        <v>0</v>
      </c>
      <c r="AO71" s="10">
        <f t="shared" si="85"/>
        <v>0</v>
      </c>
      <c r="AP71" s="10">
        <v>0</v>
      </c>
      <c r="AQ71" s="10">
        <v>0</v>
      </c>
      <c r="AR71" s="10">
        <v>0</v>
      </c>
      <c r="AS71" s="10">
        <v>0</v>
      </c>
      <c r="AT71" s="10">
        <f t="shared" si="86"/>
        <v>1.0320924100000002</v>
      </c>
      <c r="AU71" s="10">
        <v>0.11749999999999999</v>
      </c>
      <c r="AV71" s="10">
        <v>0.88472607000000003</v>
      </c>
      <c r="AW71" s="10">
        <v>0</v>
      </c>
      <c r="AX71" s="10">
        <v>2.9866340000000002E-2</v>
      </c>
      <c r="AY71" s="10">
        <v>0</v>
      </c>
      <c r="AZ71" s="10">
        <v>0</v>
      </c>
      <c r="BA71" s="10">
        <v>0</v>
      </c>
      <c r="BB71" s="10">
        <v>0</v>
      </c>
      <c r="BC71" s="10">
        <v>0</v>
      </c>
    </row>
    <row r="72" spans="1:55" ht="47.25" x14ac:dyDescent="0.25">
      <c r="A72" s="12" t="s">
        <v>121</v>
      </c>
      <c r="B72" s="40" t="s">
        <v>328</v>
      </c>
      <c r="C72" s="42" t="s">
        <v>329</v>
      </c>
      <c r="D72" s="19">
        <v>1.17</v>
      </c>
      <c r="E72" s="10">
        <f t="shared" si="57"/>
        <v>1</v>
      </c>
      <c r="F72" s="10">
        <f t="shared" si="57"/>
        <v>7.6799999999999993E-2</v>
      </c>
      <c r="G72" s="10">
        <f t="shared" si="57"/>
        <v>0.88919999999999999</v>
      </c>
      <c r="H72" s="10">
        <f t="shared" si="57"/>
        <v>0</v>
      </c>
      <c r="I72" s="10">
        <f t="shared" si="57"/>
        <v>0.03</v>
      </c>
      <c r="J72" s="10">
        <v>0</v>
      </c>
      <c r="K72" s="10">
        <v>0</v>
      </c>
      <c r="L72" s="10">
        <v>0</v>
      </c>
      <c r="M72" s="10">
        <v>0</v>
      </c>
      <c r="N72" s="10">
        <v>0</v>
      </c>
      <c r="O72" s="10">
        <f t="shared" si="58"/>
        <v>0</v>
      </c>
      <c r="P72" s="10">
        <v>0</v>
      </c>
      <c r="Q72" s="10">
        <v>0</v>
      </c>
      <c r="R72" s="10">
        <v>0</v>
      </c>
      <c r="S72" s="10">
        <v>0</v>
      </c>
      <c r="T72" s="10">
        <f t="shared" si="83"/>
        <v>0.03</v>
      </c>
      <c r="U72" s="10">
        <v>0</v>
      </c>
      <c r="V72" s="10">
        <v>0</v>
      </c>
      <c r="W72" s="10">
        <v>0</v>
      </c>
      <c r="X72" s="10">
        <v>0.03</v>
      </c>
      <c r="Y72" s="17">
        <v>0.97</v>
      </c>
      <c r="Z72" s="10">
        <v>7.6799999999999993E-2</v>
      </c>
      <c r="AA72" s="10">
        <v>0.88919999999999999</v>
      </c>
      <c r="AB72" s="10">
        <v>0</v>
      </c>
      <c r="AC72" s="10">
        <v>0</v>
      </c>
      <c r="AD72" s="19">
        <v>0.97</v>
      </c>
      <c r="AE72" s="10">
        <f t="shared" si="90"/>
        <v>0.82929739000000002</v>
      </c>
      <c r="AF72" s="10">
        <f t="shared" si="91"/>
        <v>6.4166669999999995E-2</v>
      </c>
      <c r="AG72" s="10">
        <f t="shared" si="92"/>
        <v>0.74113280000000004</v>
      </c>
      <c r="AH72" s="10">
        <f t="shared" si="93"/>
        <v>0</v>
      </c>
      <c r="AI72" s="10">
        <f t="shared" si="94"/>
        <v>2.3997919999999999E-2</v>
      </c>
      <c r="AJ72" s="10">
        <f t="shared" si="95"/>
        <v>0</v>
      </c>
      <c r="AK72" s="10">
        <v>0</v>
      </c>
      <c r="AL72" s="10">
        <v>0</v>
      </c>
      <c r="AM72" s="10">
        <v>0</v>
      </c>
      <c r="AN72" s="10">
        <v>0</v>
      </c>
      <c r="AO72" s="10">
        <f t="shared" si="85"/>
        <v>0</v>
      </c>
      <c r="AP72" s="10">
        <v>0</v>
      </c>
      <c r="AQ72" s="10">
        <v>0</v>
      </c>
      <c r="AR72" s="10">
        <v>0</v>
      </c>
      <c r="AS72" s="10">
        <v>0</v>
      </c>
      <c r="AT72" s="10">
        <f t="shared" si="86"/>
        <v>0.82929739000000002</v>
      </c>
      <c r="AU72" s="10">
        <v>6.4166669999999995E-2</v>
      </c>
      <c r="AV72" s="10">
        <v>0.74113280000000004</v>
      </c>
      <c r="AW72" s="10">
        <v>0</v>
      </c>
      <c r="AX72" s="10">
        <v>2.3997919999999999E-2</v>
      </c>
      <c r="AY72" s="10">
        <v>0</v>
      </c>
      <c r="AZ72" s="10">
        <v>0</v>
      </c>
      <c r="BA72" s="10">
        <v>0</v>
      </c>
      <c r="BB72" s="10">
        <v>0</v>
      </c>
      <c r="BC72" s="10">
        <v>0</v>
      </c>
    </row>
    <row r="73" spans="1:55" ht="31.5" x14ac:dyDescent="0.25">
      <c r="A73" s="12" t="s">
        <v>122</v>
      </c>
      <c r="B73" s="40" t="s">
        <v>286</v>
      </c>
      <c r="C73" s="42" t="s">
        <v>287</v>
      </c>
      <c r="D73" s="19">
        <v>2.06</v>
      </c>
      <c r="E73" s="10">
        <f t="shared" ref="E73:E82" si="96">J73+O73+T73+Y73</f>
        <v>2.2753622400000002</v>
      </c>
      <c r="F73" s="10">
        <f t="shared" ref="F73:F82" si="97">K73+P73+U73+Z73</f>
        <v>0</v>
      </c>
      <c r="G73" s="10">
        <f t="shared" ref="G73:G82" si="98">L73+Q73+V73+AA73</f>
        <v>2.1398797680000001</v>
      </c>
      <c r="H73" s="10">
        <f t="shared" ref="H73:H82" si="99">M73+R73+W73+AB73</f>
        <v>0</v>
      </c>
      <c r="I73" s="10">
        <f t="shared" ref="I73:I82" si="100">N73+S73+X73+AC73</f>
        <v>0.13548247199999999</v>
      </c>
      <c r="J73" s="10">
        <v>0</v>
      </c>
      <c r="K73" s="10">
        <v>0</v>
      </c>
      <c r="L73" s="10">
        <v>0</v>
      </c>
      <c r="M73" s="10">
        <v>0</v>
      </c>
      <c r="N73" s="10">
        <v>0</v>
      </c>
      <c r="O73" s="10">
        <f t="shared" ref="O73:O82" si="101">SUM(P73:S73)</f>
        <v>2.1398797680000001</v>
      </c>
      <c r="P73" s="10">
        <v>0</v>
      </c>
      <c r="Q73" s="10">
        <f>1.78323314*1.2</f>
        <v>2.1398797680000001</v>
      </c>
      <c r="R73" s="10">
        <v>0</v>
      </c>
      <c r="S73" s="10">
        <v>0</v>
      </c>
      <c r="T73" s="10">
        <f t="shared" si="83"/>
        <v>0.13548247199999999</v>
      </c>
      <c r="U73" s="10">
        <v>0</v>
      </c>
      <c r="V73" s="10">
        <v>0</v>
      </c>
      <c r="W73" s="10">
        <v>0</v>
      </c>
      <c r="X73" s="10">
        <f>0.11290206*1.2</f>
        <v>0.13548247199999999</v>
      </c>
      <c r="Y73" s="17">
        <v>0</v>
      </c>
      <c r="Z73" s="10">
        <v>0</v>
      </c>
      <c r="AA73" s="10">
        <v>0</v>
      </c>
      <c r="AB73" s="10">
        <v>0</v>
      </c>
      <c r="AC73" s="10">
        <v>0</v>
      </c>
      <c r="AD73" s="19">
        <v>3.21</v>
      </c>
      <c r="AE73" s="10">
        <f t="shared" ref="AE73:AE82" si="102">AJ73+AO73+AT73+AY73</f>
        <v>3.3887599000000002</v>
      </c>
      <c r="AF73" s="10">
        <f t="shared" ref="AF73:AF82" si="103">AK73+AP73+AU73+AZ73</f>
        <v>0</v>
      </c>
      <c r="AG73" s="10">
        <f t="shared" ref="AG73:AG82" si="104">AL73+AQ73+AV73+BA73</f>
        <v>3.2854362400000001</v>
      </c>
      <c r="AH73" s="10">
        <f t="shared" ref="AH73:AH82" si="105">AM73+AR73+AW73+BB73</f>
        <v>0</v>
      </c>
      <c r="AI73" s="10">
        <f t="shared" ref="AI73:AI82" si="106">AN73+AS73+AX73+BC73</f>
        <v>0.10332366</v>
      </c>
      <c r="AJ73" s="10">
        <f t="shared" si="84"/>
        <v>0</v>
      </c>
      <c r="AK73" s="10">
        <v>0</v>
      </c>
      <c r="AL73" s="10">
        <v>0</v>
      </c>
      <c r="AM73" s="10">
        <v>0</v>
      </c>
      <c r="AN73" s="10">
        <v>0</v>
      </c>
      <c r="AO73" s="10">
        <f t="shared" ref="AO73:AO82" si="107">SUM(AP73:AS73)</f>
        <v>3.3887599000000002</v>
      </c>
      <c r="AP73" s="10">
        <v>0</v>
      </c>
      <c r="AQ73" s="10">
        <v>3.2854362400000001</v>
      </c>
      <c r="AR73" s="10">
        <v>0</v>
      </c>
      <c r="AS73" s="10">
        <v>0.10332366</v>
      </c>
      <c r="AT73" s="10">
        <f t="shared" ref="AT73:AT82" si="108">SUM(AU73:AX73)</f>
        <v>0</v>
      </c>
      <c r="AU73" s="10">
        <v>0</v>
      </c>
      <c r="AV73" s="10">
        <v>0</v>
      </c>
      <c r="AW73" s="10">
        <v>0</v>
      </c>
      <c r="AX73" s="10">
        <v>0</v>
      </c>
      <c r="AY73" s="10">
        <v>0</v>
      </c>
      <c r="AZ73" s="10">
        <v>0</v>
      </c>
      <c r="BA73" s="10">
        <v>0</v>
      </c>
      <c r="BB73" s="10">
        <v>0</v>
      </c>
      <c r="BC73" s="10">
        <v>0</v>
      </c>
    </row>
    <row r="74" spans="1:55" ht="47.25" x14ac:dyDescent="0.25">
      <c r="A74" s="12" t="s">
        <v>123</v>
      </c>
      <c r="B74" s="40" t="s">
        <v>288</v>
      </c>
      <c r="C74" s="42" t="s">
        <v>289</v>
      </c>
      <c r="D74" s="19" t="s">
        <v>91</v>
      </c>
      <c r="E74" s="10">
        <f t="shared" si="96"/>
        <v>0.40825600000000001</v>
      </c>
      <c r="F74" s="10">
        <f t="shared" si="97"/>
        <v>8.2559999999999995E-3</v>
      </c>
      <c r="G74" s="10">
        <f t="shared" si="98"/>
        <v>0.27600000000000002</v>
      </c>
      <c r="H74" s="10">
        <f t="shared" si="99"/>
        <v>0</v>
      </c>
      <c r="I74" s="10">
        <f t="shared" si="100"/>
        <v>0.12239999999999999</v>
      </c>
      <c r="J74" s="10">
        <v>0</v>
      </c>
      <c r="K74" s="10">
        <v>0</v>
      </c>
      <c r="L74" s="10">
        <v>0</v>
      </c>
      <c r="M74" s="10">
        <v>0</v>
      </c>
      <c r="N74" s="10">
        <v>0</v>
      </c>
      <c r="O74" s="10">
        <f t="shared" si="101"/>
        <v>8.2559999999999995E-3</v>
      </c>
      <c r="P74" s="10">
        <f>6880/1000000*1.2</f>
        <v>8.2559999999999995E-3</v>
      </c>
      <c r="Q74" s="10">
        <v>0</v>
      </c>
      <c r="R74" s="10">
        <v>0</v>
      </c>
      <c r="S74" s="10">
        <v>0</v>
      </c>
      <c r="T74" s="10">
        <f t="shared" si="83"/>
        <v>0</v>
      </c>
      <c r="U74" s="10">
        <v>0</v>
      </c>
      <c r="V74" s="10">
        <v>0</v>
      </c>
      <c r="W74" s="10">
        <v>0</v>
      </c>
      <c r="X74" s="10">
        <v>0</v>
      </c>
      <c r="Y74" s="17">
        <v>0.4</v>
      </c>
      <c r="Z74" s="10">
        <v>0</v>
      </c>
      <c r="AA74" s="10">
        <v>0.27600000000000002</v>
      </c>
      <c r="AB74" s="10">
        <v>0</v>
      </c>
      <c r="AC74" s="10">
        <v>0.12239999999999999</v>
      </c>
      <c r="AD74" s="19" t="s">
        <v>91</v>
      </c>
      <c r="AE74" s="10">
        <f t="shared" si="102"/>
        <v>0.34012300000000001</v>
      </c>
      <c r="AF74" s="10">
        <f t="shared" si="103"/>
        <v>6.8799999999999998E-3</v>
      </c>
      <c r="AG74" s="10">
        <f t="shared" si="104"/>
        <v>0.23</v>
      </c>
      <c r="AH74" s="10">
        <f t="shared" si="105"/>
        <v>0</v>
      </c>
      <c r="AI74" s="10">
        <f t="shared" si="106"/>
        <v>0.10199999999999999</v>
      </c>
      <c r="AJ74" s="10">
        <f t="shared" si="84"/>
        <v>0</v>
      </c>
      <c r="AK74" s="10">
        <v>0</v>
      </c>
      <c r="AL74" s="10">
        <v>0</v>
      </c>
      <c r="AM74" s="10">
        <v>0</v>
      </c>
      <c r="AN74" s="10">
        <v>0</v>
      </c>
      <c r="AO74" s="10">
        <f t="shared" si="107"/>
        <v>6.8799999999999998E-3</v>
      </c>
      <c r="AP74" s="10">
        <f>6880/1000000</f>
        <v>6.8799999999999998E-3</v>
      </c>
      <c r="AQ74" s="10">
        <v>0</v>
      </c>
      <c r="AR74" s="10">
        <v>0</v>
      </c>
      <c r="AS74" s="10">
        <v>0</v>
      </c>
      <c r="AT74" s="10">
        <f t="shared" si="108"/>
        <v>0</v>
      </c>
      <c r="AU74" s="10">
        <v>0</v>
      </c>
      <c r="AV74" s="10">
        <v>0</v>
      </c>
      <c r="AW74" s="10">
        <v>0</v>
      </c>
      <c r="AX74" s="10">
        <v>0</v>
      </c>
      <c r="AY74" s="10">
        <v>0.33324300000000001</v>
      </c>
      <c r="AZ74" s="10">
        <v>0</v>
      </c>
      <c r="BA74" s="10">
        <v>0.23</v>
      </c>
      <c r="BB74" s="10">
        <v>0</v>
      </c>
      <c r="BC74" s="10">
        <v>0.10199999999999999</v>
      </c>
    </row>
    <row r="75" spans="1:55" ht="31.5" x14ac:dyDescent="0.25">
      <c r="A75" s="12" t="s">
        <v>124</v>
      </c>
      <c r="B75" s="40" t="s">
        <v>290</v>
      </c>
      <c r="C75" s="42" t="s">
        <v>291</v>
      </c>
      <c r="D75" s="19">
        <v>7.49</v>
      </c>
      <c r="E75" s="10">
        <f t="shared" si="96"/>
        <v>2.8157099159999999</v>
      </c>
      <c r="F75" s="10">
        <f t="shared" si="97"/>
        <v>0</v>
      </c>
      <c r="G75" s="10">
        <f t="shared" si="98"/>
        <v>2.8157099159999999</v>
      </c>
      <c r="H75" s="10">
        <f t="shared" si="99"/>
        <v>0</v>
      </c>
      <c r="I75" s="10">
        <f t="shared" si="100"/>
        <v>0</v>
      </c>
      <c r="J75" s="10">
        <v>0</v>
      </c>
      <c r="K75" s="10">
        <v>0</v>
      </c>
      <c r="L75" s="10">
        <v>0</v>
      </c>
      <c r="M75" s="10">
        <v>0</v>
      </c>
      <c r="N75" s="10">
        <v>0</v>
      </c>
      <c r="O75" s="10">
        <f t="shared" si="101"/>
        <v>1.3757099159999999</v>
      </c>
      <c r="P75" s="10">
        <v>0</v>
      </c>
      <c r="Q75" s="10">
        <f>1.14642493*1.2</f>
        <v>1.3757099159999999</v>
      </c>
      <c r="R75" s="10">
        <v>0</v>
      </c>
      <c r="S75" s="10">
        <v>0</v>
      </c>
      <c r="T75" s="10">
        <f t="shared" si="83"/>
        <v>0</v>
      </c>
      <c r="U75" s="10">
        <v>0</v>
      </c>
      <c r="V75" s="10">
        <v>0</v>
      </c>
      <c r="W75" s="10">
        <v>0</v>
      </c>
      <c r="X75" s="10">
        <v>0</v>
      </c>
      <c r="Y75" s="17">
        <v>1.44</v>
      </c>
      <c r="Z75" s="10">
        <v>0</v>
      </c>
      <c r="AA75" s="10">
        <v>1.44</v>
      </c>
      <c r="AB75" s="10">
        <v>0</v>
      </c>
      <c r="AC75" s="10">
        <v>0</v>
      </c>
      <c r="AD75" s="19">
        <v>6.24</v>
      </c>
      <c r="AE75" s="10">
        <f t="shared" si="102"/>
        <v>2.3503649800000002</v>
      </c>
      <c r="AF75" s="10">
        <f t="shared" si="103"/>
        <v>0</v>
      </c>
      <c r="AG75" s="10">
        <f t="shared" si="104"/>
        <v>2.35</v>
      </c>
      <c r="AH75" s="10">
        <f t="shared" si="105"/>
        <v>0</v>
      </c>
      <c r="AI75" s="10">
        <f t="shared" si="106"/>
        <v>0</v>
      </c>
      <c r="AJ75" s="10">
        <f t="shared" si="84"/>
        <v>0</v>
      </c>
      <c r="AK75" s="10">
        <v>0</v>
      </c>
      <c r="AL75" s="10">
        <v>0</v>
      </c>
      <c r="AM75" s="10">
        <v>0</v>
      </c>
      <c r="AN75" s="10">
        <v>0</v>
      </c>
      <c r="AO75" s="10">
        <f t="shared" si="107"/>
        <v>0</v>
      </c>
      <c r="AP75" s="10">
        <v>0</v>
      </c>
      <c r="AQ75" s="10">
        <v>0</v>
      </c>
      <c r="AR75" s="10">
        <v>0</v>
      </c>
      <c r="AS75" s="10">
        <v>0</v>
      </c>
      <c r="AT75" s="10">
        <f t="shared" si="108"/>
        <v>0</v>
      </c>
      <c r="AU75" s="10">
        <v>0</v>
      </c>
      <c r="AV75" s="10">
        <v>0</v>
      </c>
      <c r="AW75" s="10">
        <v>0</v>
      </c>
      <c r="AX75" s="10">
        <v>0</v>
      </c>
      <c r="AY75" s="10">
        <v>2.3503649800000002</v>
      </c>
      <c r="AZ75" s="10">
        <v>0</v>
      </c>
      <c r="BA75" s="10">
        <v>2.35</v>
      </c>
      <c r="BB75" s="10">
        <v>0</v>
      </c>
      <c r="BC75" s="10">
        <v>0</v>
      </c>
    </row>
    <row r="76" spans="1:55" ht="75" x14ac:dyDescent="0.25">
      <c r="A76" s="12" t="s">
        <v>125</v>
      </c>
      <c r="B76" s="51" t="s">
        <v>292</v>
      </c>
      <c r="C76" s="12" t="s">
        <v>293</v>
      </c>
      <c r="D76" s="19">
        <v>0.22</v>
      </c>
      <c r="E76" s="10">
        <f t="shared" si="96"/>
        <v>0.22459599999999999</v>
      </c>
      <c r="F76" s="10">
        <f t="shared" si="97"/>
        <v>4.5960000000000003E-3</v>
      </c>
      <c r="G76" s="10">
        <f t="shared" si="98"/>
        <v>0.22</v>
      </c>
      <c r="H76" s="10">
        <f t="shared" si="99"/>
        <v>0</v>
      </c>
      <c r="I76" s="10">
        <f t="shared" si="100"/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f t="shared" si="101"/>
        <v>4.5960000000000003E-3</v>
      </c>
      <c r="P76" s="10">
        <f>3830/1000000*1.2</f>
        <v>4.5960000000000003E-3</v>
      </c>
      <c r="Q76" s="10">
        <v>0</v>
      </c>
      <c r="R76" s="10">
        <v>0</v>
      </c>
      <c r="S76" s="10">
        <v>0</v>
      </c>
      <c r="T76" s="10">
        <f t="shared" si="83"/>
        <v>0</v>
      </c>
      <c r="U76" s="10">
        <v>0</v>
      </c>
      <c r="V76" s="10">
        <v>0</v>
      </c>
      <c r="W76" s="10">
        <v>0</v>
      </c>
      <c r="X76" s="10">
        <v>0</v>
      </c>
      <c r="Y76" s="17">
        <v>0.22</v>
      </c>
      <c r="Z76" s="10">
        <v>0</v>
      </c>
      <c r="AA76" s="10">
        <v>0.22</v>
      </c>
      <c r="AB76" s="10">
        <v>0</v>
      </c>
      <c r="AC76" s="10">
        <v>0</v>
      </c>
      <c r="AD76" s="19">
        <v>0.19</v>
      </c>
      <c r="AE76" s="10">
        <f t="shared" si="102"/>
        <v>0.18369568</v>
      </c>
      <c r="AF76" s="10">
        <f t="shared" si="103"/>
        <v>3.8300000000000001E-3</v>
      </c>
      <c r="AG76" s="10">
        <f t="shared" si="104"/>
        <v>0.17899999999999999</v>
      </c>
      <c r="AH76" s="10">
        <f t="shared" si="105"/>
        <v>0</v>
      </c>
      <c r="AI76" s="10">
        <f t="shared" si="106"/>
        <v>0</v>
      </c>
      <c r="AJ76" s="10">
        <f t="shared" si="84"/>
        <v>0</v>
      </c>
      <c r="AK76" s="10">
        <v>0</v>
      </c>
      <c r="AL76" s="10">
        <v>0</v>
      </c>
      <c r="AM76" s="10">
        <v>0</v>
      </c>
      <c r="AN76" s="10">
        <v>0</v>
      </c>
      <c r="AO76" s="10">
        <f t="shared" si="107"/>
        <v>3.8300000000000001E-3</v>
      </c>
      <c r="AP76" s="10">
        <f>3830/1000000</f>
        <v>3.8300000000000001E-3</v>
      </c>
      <c r="AQ76" s="10">
        <v>0</v>
      </c>
      <c r="AR76" s="10">
        <v>0</v>
      </c>
      <c r="AS76" s="10">
        <v>0</v>
      </c>
      <c r="AT76" s="10">
        <f t="shared" si="108"/>
        <v>0</v>
      </c>
      <c r="AU76" s="10">
        <v>0</v>
      </c>
      <c r="AV76" s="10">
        <v>0</v>
      </c>
      <c r="AW76" s="10">
        <v>0</v>
      </c>
      <c r="AX76" s="10">
        <v>0</v>
      </c>
      <c r="AY76" s="10">
        <v>0.17986568</v>
      </c>
      <c r="AZ76" s="10">
        <v>0</v>
      </c>
      <c r="BA76" s="10">
        <v>0.17899999999999999</v>
      </c>
      <c r="BB76" s="10">
        <v>0</v>
      </c>
      <c r="BC76" s="10">
        <v>0</v>
      </c>
    </row>
    <row r="77" spans="1:55" ht="75" x14ac:dyDescent="0.25">
      <c r="A77" s="12" t="s">
        <v>126</v>
      </c>
      <c r="B77" s="51" t="s">
        <v>294</v>
      </c>
      <c r="C77" s="12" t="s">
        <v>295</v>
      </c>
      <c r="D77" s="19">
        <v>0.19</v>
      </c>
      <c r="E77" s="10">
        <f t="shared" si="96"/>
        <v>8.7259548000000006E-2</v>
      </c>
      <c r="F77" s="10">
        <f t="shared" si="97"/>
        <v>0</v>
      </c>
      <c r="G77" s="10">
        <f t="shared" si="98"/>
        <v>8.7259548000000006E-2</v>
      </c>
      <c r="H77" s="10">
        <f t="shared" si="99"/>
        <v>0</v>
      </c>
      <c r="I77" s="10">
        <f t="shared" si="100"/>
        <v>0</v>
      </c>
      <c r="J77" s="10">
        <v>0</v>
      </c>
      <c r="K77" s="10">
        <v>0</v>
      </c>
      <c r="L77" s="10">
        <v>0</v>
      </c>
      <c r="M77" s="10">
        <v>0</v>
      </c>
      <c r="N77" s="10">
        <v>0</v>
      </c>
      <c r="O77" s="10">
        <f t="shared" si="101"/>
        <v>8.7259548000000006E-2</v>
      </c>
      <c r="P77" s="10">
        <v>0</v>
      </c>
      <c r="Q77" s="10">
        <f>0.07271629*1.2</f>
        <v>8.7259548000000006E-2</v>
      </c>
      <c r="R77" s="10">
        <v>0</v>
      </c>
      <c r="S77" s="10">
        <v>0</v>
      </c>
      <c r="T77" s="10">
        <f t="shared" si="83"/>
        <v>0</v>
      </c>
      <c r="U77" s="10">
        <v>0</v>
      </c>
      <c r="V77" s="10">
        <v>0</v>
      </c>
      <c r="W77" s="10">
        <v>0</v>
      </c>
      <c r="X77" s="10">
        <v>0</v>
      </c>
      <c r="Y77" s="17">
        <v>0</v>
      </c>
      <c r="Z77" s="10">
        <v>0</v>
      </c>
      <c r="AA77" s="10">
        <v>0</v>
      </c>
      <c r="AB77" s="10">
        <v>0</v>
      </c>
      <c r="AC77" s="10">
        <v>0</v>
      </c>
      <c r="AD77" s="19">
        <v>0.15</v>
      </c>
      <c r="AE77" s="10">
        <f t="shared" si="102"/>
        <v>7.2716290000000003E-2</v>
      </c>
      <c r="AF77" s="10">
        <f t="shared" si="103"/>
        <v>0</v>
      </c>
      <c r="AG77" s="10">
        <f t="shared" si="104"/>
        <v>7.2716290000000003E-2</v>
      </c>
      <c r="AH77" s="10">
        <f t="shared" si="105"/>
        <v>0</v>
      </c>
      <c r="AI77" s="10">
        <f t="shared" si="106"/>
        <v>0</v>
      </c>
      <c r="AJ77" s="10">
        <f t="shared" si="84"/>
        <v>0</v>
      </c>
      <c r="AK77" s="10">
        <v>0</v>
      </c>
      <c r="AL77" s="10">
        <v>0</v>
      </c>
      <c r="AM77" s="10">
        <v>0</v>
      </c>
      <c r="AN77" s="10">
        <v>0</v>
      </c>
      <c r="AO77" s="10">
        <f t="shared" si="107"/>
        <v>7.2716290000000003E-2</v>
      </c>
      <c r="AP77" s="10">
        <v>0</v>
      </c>
      <c r="AQ77" s="10">
        <v>7.2716290000000003E-2</v>
      </c>
      <c r="AR77" s="10">
        <v>0</v>
      </c>
      <c r="AS77" s="10">
        <v>0</v>
      </c>
      <c r="AT77" s="10">
        <f t="shared" si="108"/>
        <v>0</v>
      </c>
      <c r="AU77" s="10">
        <v>0</v>
      </c>
      <c r="AV77" s="10">
        <v>0</v>
      </c>
      <c r="AW77" s="10">
        <v>0</v>
      </c>
      <c r="AX77" s="10">
        <v>0</v>
      </c>
      <c r="AY77" s="10">
        <v>0</v>
      </c>
      <c r="AZ77" s="10">
        <v>0</v>
      </c>
      <c r="BA77" s="10">
        <v>0</v>
      </c>
      <c r="BB77" s="10">
        <v>0</v>
      </c>
      <c r="BC77" s="10">
        <v>0</v>
      </c>
    </row>
    <row r="78" spans="1:55" ht="56.25" x14ac:dyDescent="0.25">
      <c r="A78" s="12" t="s">
        <v>127</v>
      </c>
      <c r="B78" s="51" t="s">
        <v>296</v>
      </c>
      <c r="C78" s="12" t="s">
        <v>297</v>
      </c>
      <c r="D78" s="19">
        <v>1.1100000000000001</v>
      </c>
      <c r="E78" s="10">
        <f t="shared" si="96"/>
        <v>0.89224114799999998</v>
      </c>
      <c r="F78" s="10">
        <f t="shared" si="97"/>
        <v>2.3004E-2</v>
      </c>
      <c r="G78" s="10">
        <f t="shared" si="98"/>
        <v>0.86923714799999996</v>
      </c>
      <c r="H78" s="10">
        <f t="shared" si="99"/>
        <v>0</v>
      </c>
      <c r="I78" s="10">
        <f t="shared" si="100"/>
        <v>0</v>
      </c>
      <c r="J78" s="10">
        <v>0</v>
      </c>
      <c r="K78" s="10">
        <v>0</v>
      </c>
      <c r="L78" s="10">
        <v>0</v>
      </c>
      <c r="M78" s="10">
        <v>0</v>
      </c>
      <c r="N78" s="10">
        <v>0</v>
      </c>
      <c r="O78" s="10">
        <f t="shared" si="101"/>
        <v>2.3004E-2</v>
      </c>
      <c r="P78" s="10">
        <f>0.01917*1.2</f>
        <v>2.3004E-2</v>
      </c>
      <c r="Q78" s="10">
        <v>0</v>
      </c>
      <c r="R78" s="10">
        <v>0</v>
      </c>
      <c r="S78" s="10">
        <v>0</v>
      </c>
      <c r="T78" s="10">
        <f t="shared" si="83"/>
        <v>0.86923714799999996</v>
      </c>
      <c r="U78" s="10">
        <v>0</v>
      </c>
      <c r="V78" s="10">
        <f>0.72436429*1.2</f>
        <v>0.86923714799999996</v>
      </c>
      <c r="W78" s="10">
        <v>0</v>
      </c>
      <c r="X78" s="10">
        <v>0</v>
      </c>
      <c r="Y78" s="17">
        <v>0</v>
      </c>
      <c r="Z78" s="10">
        <v>0</v>
      </c>
      <c r="AA78" s="10">
        <v>0</v>
      </c>
      <c r="AB78" s="10">
        <v>0</v>
      </c>
      <c r="AC78" s="10">
        <v>0</v>
      </c>
      <c r="AD78" s="19">
        <v>0.92</v>
      </c>
      <c r="AE78" s="10">
        <f t="shared" si="102"/>
        <v>0.74353429000000004</v>
      </c>
      <c r="AF78" s="10">
        <f t="shared" si="103"/>
        <v>1.917E-2</v>
      </c>
      <c r="AG78" s="10">
        <f t="shared" si="104"/>
        <v>0.72436429000000002</v>
      </c>
      <c r="AH78" s="10">
        <f t="shared" si="105"/>
        <v>0</v>
      </c>
      <c r="AI78" s="10">
        <f t="shared" si="106"/>
        <v>0</v>
      </c>
      <c r="AJ78" s="10">
        <f t="shared" si="84"/>
        <v>0</v>
      </c>
      <c r="AK78" s="10">
        <v>0</v>
      </c>
      <c r="AL78" s="10">
        <v>0</v>
      </c>
      <c r="AM78" s="10">
        <v>0</v>
      </c>
      <c r="AN78" s="10">
        <v>0</v>
      </c>
      <c r="AO78" s="10">
        <f t="shared" si="107"/>
        <v>1.917E-2</v>
      </c>
      <c r="AP78" s="10">
        <v>1.917E-2</v>
      </c>
      <c r="AQ78" s="10">
        <v>0</v>
      </c>
      <c r="AR78" s="10">
        <v>0</v>
      </c>
      <c r="AS78" s="10">
        <v>0</v>
      </c>
      <c r="AT78" s="10">
        <f t="shared" si="108"/>
        <v>0.72436429000000002</v>
      </c>
      <c r="AU78" s="10">
        <v>0</v>
      </c>
      <c r="AV78" s="10">
        <v>0.72436429000000002</v>
      </c>
      <c r="AW78" s="10">
        <v>0</v>
      </c>
      <c r="AX78" s="10">
        <v>0</v>
      </c>
      <c r="AY78" s="10">
        <v>0</v>
      </c>
      <c r="AZ78" s="10">
        <v>0</v>
      </c>
      <c r="BA78" s="10">
        <v>0</v>
      </c>
      <c r="BB78" s="10">
        <v>0</v>
      </c>
      <c r="BC78" s="10">
        <v>0</v>
      </c>
    </row>
    <row r="79" spans="1:55" ht="75" x14ac:dyDescent="0.25">
      <c r="A79" s="12" t="s">
        <v>128</v>
      </c>
      <c r="B79" s="51" t="s">
        <v>298</v>
      </c>
      <c r="C79" s="12" t="s">
        <v>299</v>
      </c>
      <c r="D79" s="19" t="s">
        <v>91</v>
      </c>
      <c r="E79" s="10">
        <f t="shared" si="96"/>
        <v>3.6887999999999997E-2</v>
      </c>
      <c r="F79" s="10">
        <f t="shared" si="97"/>
        <v>3.6887999999999997E-2</v>
      </c>
      <c r="G79" s="10">
        <f t="shared" si="98"/>
        <v>0</v>
      </c>
      <c r="H79" s="10">
        <f t="shared" si="99"/>
        <v>0</v>
      </c>
      <c r="I79" s="10">
        <f t="shared" si="100"/>
        <v>0</v>
      </c>
      <c r="J79" s="10">
        <v>0</v>
      </c>
      <c r="K79" s="10">
        <v>0</v>
      </c>
      <c r="L79" s="10">
        <v>0</v>
      </c>
      <c r="M79" s="10">
        <v>0</v>
      </c>
      <c r="N79" s="10">
        <v>0</v>
      </c>
      <c r="O79" s="10">
        <f t="shared" si="101"/>
        <v>3.6887999999999997E-2</v>
      </c>
      <c r="P79" s="10">
        <f>0.03074*1.2</f>
        <v>3.6887999999999997E-2</v>
      </c>
      <c r="Q79" s="10">
        <v>0</v>
      </c>
      <c r="R79" s="10">
        <v>0</v>
      </c>
      <c r="S79" s="10">
        <v>0</v>
      </c>
      <c r="T79" s="10">
        <f t="shared" si="83"/>
        <v>0</v>
      </c>
      <c r="U79" s="10">
        <v>0</v>
      </c>
      <c r="V79" s="10">
        <v>0</v>
      </c>
      <c r="W79" s="10">
        <v>0</v>
      </c>
      <c r="X79" s="10">
        <v>0</v>
      </c>
      <c r="Y79" s="17">
        <v>0</v>
      </c>
      <c r="Z79" s="10">
        <v>0</v>
      </c>
      <c r="AA79" s="10">
        <v>0</v>
      </c>
      <c r="AB79" s="10">
        <v>0</v>
      </c>
      <c r="AC79" s="10">
        <v>0</v>
      </c>
      <c r="AD79" s="19" t="s">
        <v>91</v>
      </c>
      <c r="AE79" s="10">
        <f t="shared" si="102"/>
        <v>3.074E-2</v>
      </c>
      <c r="AF79" s="10">
        <f t="shared" si="103"/>
        <v>3.074E-2</v>
      </c>
      <c r="AG79" s="10">
        <f t="shared" si="104"/>
        <v>0</v>
      </c>
      <c r="AH79" s="10">
        <f t="shared" si="105"/>
        <v>0</v>
      </c>
      <c r="AI79" s="10">
        <f t="shared" si="106"/>
        <v>0</v>
      </c>
      <c r="AJ79" s="10">
        <f t="shared" si="84"/>
        <v>0</v>
      </c>
      <c r="AK79" s="10">
        <v>0</v>
      </c>
      <c r="AL79" s="10">
        <v>0</v>
      </c>
      <c r="AM79" s="10">
        <v>0</v>
      </c>
      <c r="AN79" s="10">
        <v>0</v>
      </c>
      <c r="AO79" s="10">
        <f t="shared" si="107"/>
        <v>3.074E-2</v>
      </c>
      <c r="AP79" s="10">
        <v>3.074E-2</v>
      </c>
      <c r="AQ79" s="10">
        <v>0</v>
      </c>
      <c r="AR79" s="10">
        <v>0</v>
      </c>
      <c r="AS79" s="10">
        <v>0</v>
      </c>
      <c r="AT79" s="10">
        <f t="shared" si="108"/>
        <v>0</v>
      </c>
      <c r="AU79" s="10">
        <v>0</v>
      </c>
      <c r="AV79" s="10">
        <v>0</v>
      </c>
      <c r="AW79" s="10">
        <v>0</v>
      </c>
      <c r="AX79" s="10">
        <v>0</v>
      </c>
      <c r="AY79" s="10">
        <v>0</v>
      </c>
      <c r="AZ79" s="10">
        <v>0</v>
      </c>
      <c r="BA79" s="10">
        <v>0</v>
      </c>
      <c r="BB79" s="10">
        <v>0</v>
      </c>
      <c r="BC79" s="10">
        <v>0</v>
      </c>
    </row>
    <row r="80" spans="1:55" ht="56.25" x14ac:dyDescent="0.25">
      <c r="A80" s="12" t="s">
        <v>129</v>
      </c>
      <c r="B80" s="51" t="s">
        <v>300</v>
      </c>
      <c r="C80" s="12" t="s">
        <v>301</v>
      </c>
      <c r="D80" s="19" t="s">
        <v>91</v>
      </c>
      <c r="E80" s="10">
        <f t="shared" si="96"/>
        <v>0.26088170399999999</v>
      </c>
      <c r="F80" s="10">
        <f t="shared" si="97"/>
        <v>0.26088170399999999</v>
      </c>
      <c r="G80" s="10">
        <f t="shared" si="98"/>
        <v>0</v>
      </c>
      <c r="H80" s="10">
        <f t="shared" si="99"/>
        <v>0</v>
      </c>
      <c r="I80" s="10">
        <f t="shared" si="100"/>
        <v>0</v>
      </c>
      <c r="J80" s="10">
        <v>0</v>
      </c>
      <c r="K80" s="10">
        <v>0</v>
      </c>
      <c r="L80" s="10">
        <v>0</v>
      </c>
      <c r="M80" s="10">
        <v>0</v>
      </c>
      <c r="N80" s="10">
        <v>0</v>
      </c>
      <c r="O80" s="10">
        <f t="shared" si="101"/>
        <v>0.26088170399999999</v>
      </c>
      <c r="P80" s="10">
        <f>0.21740142*1.2</f>
        <v>0.26088170399999999</v>
      </c>
      <c r="Q80" s="10">
        <v>0</v>
      </c>
      <c r="R80" s="10">
        <v>0</v>
      </c>
      <c r="S80" s="10">
        <v>0</v>
      </c>
      <c r="T80" s="10">
        <f t="shared" si="83"/>
        <v>0</v>
      </c>
      <c r="U80" s="10">
        <v>0</v>
      </c>
      <c r="V80" s="10">
        <v>0</v>
      </c>
      <c r="W80" s="10">
        <v>0</v>
      </c>
      <c r="X80" s="10">
        <v>0</v>
      </c>
      <c r="Y80" s="17">
        <v>0</v>
      </c>
      <c r="Z80" s="10">
        <v>0</v>
      </c>
      <c r="AA80" s="10">
        <v>0</v>
      </c>
      <c r="AB80" s="10">
        <v>0</v>
      </c>
      <c r="AC80" s="10">
        <v>0</v>
      </c>
      <c r="AD80" s="19" t="s">
        <v>91</v>
      </c>
      <c r="AE80" s="10">
        <f t="shared" si="102"/>
        <v>0.21740142000000001</v>
      </c>
      <c r="AF80" s="10">
        <f t="shared" si="103"/>
        <v>0.21740142000000001</v>
      </c>
      <c r="AG80" s="10">
        <f t="shared" si="104"/>
        <v>0</v>
      </c>
      <c r="AH80" s="10">
        <f t="shared" si="105"/>
        <v>0</v>
      </c>
      <c r="AI80" s="10">
        <f t="shared" si="106"/>
        <v>0</v>
      </c>
      <c r="AJ80" s="10">
        <f t="shared" si="84"/>
        <v>0</v>
      </c>
      <c r="AK80" s="10">
        <v>0</v>
      </c>
      <c r="AL80" s="10">
        <v>0</v>
      </c>
      <c r="AM80" s="10">
        <v>0</v>
      </c>
      <c r="AN80" s="10">
        <v>0</v>
      </c>
      <c r="AO80" s="10">
        <f t="shared" si="107"/>
        <v>0.21740142000000001</v>
      </c>
      <c r="AP80" s="10">
        <v>0.21740142000000001</v>
      </c>
      <c r="AQ80" s="10">
        <v>0</v>
      </c>
      <c r="AR80" s="10">
        <v>0</v>
      </c>
      <c r="AS80" s="10">
        <v>0</v>
      </c>
      <c r="AT80" s="10">
        <f t="shared" si="108"/>
        <v>0</v>
      </c>
      <c r="AU80" s="10">
        <v>0</v>
      </c>
      <c r="AV80" s="10">
        <v>0</v>
      </c>
      <c r="AW80" s="10">
        <v>0</v>
      </c>
      <c r="AX80" s="10">
        <v>0</v>
      </c>
      <c r="AY80" s="10">
        <v>0</v>
      </c>
      <c r="AZ80" s="10">
        <v>0</v>
      </c>
      <c r="BA80" s="10">
        <v>0</v>
      </c>
      <c r="BB80" s="10">
        <v>0</v>
      </c>
      <c r="BC80" s="10">
        <v>0</v>
      </c>
    </row>
    <row r="81" spans="1:55" ht="75" x14ac:dyDescent="0.25">
      <c r="A81" s="12" t="s">
        <v>130</v>
      </c>
      <c r="B81" s="51" t="s">
        <v>302</v>
      </c>
      <c r="C81" s="12" t="s">
        <v>303</v>
      </c>
      <c r="D81" s="19" t="s">
        <v>91</v>
      </c>
      <c r="E81" s="10">
        <f t="shared" si="96"/>
        <v>2.8631999999999998E-2</v>
      </c>
      <c r="F81" s="10">
        <f t="shared" si="97"/>
        <v>2.8631999999999998E-2</v>
      </c>
      <c r="G81" s="10">
        <f t="shared" si="98"/>
        <v>0</v>
      </c>
      <c r="H81" s="10">
        <f t="shared" si="99"/>
        <v>0</v>
      </c>
      <c r="I81" s="10">
        <f t="shared" si="100"/>
        <v>0</v>
      </c>
      <c r="J81" s="10">
        <v>0</v>
      </c>
      <c r="K81" s="10">
        <v>0</v>
      </c>
      <c r="L81" s="10">
        <v>0</v>
      </c>
      <c r="M81" s="10">
        <v>0</v>
      </c>
      <c r="N81" s="10">
        <v>0</v>
      </c>
      <c r="O81" s="10">
        <f t="shared" si="101"/>
        <v>2.8631999999999998E-2</v>
      </c>
      <c r="P81" s="10">
        <f>0.02386*1.2</f>
        <v>2.8631999999999998E-2</v>
      </c>
      <c r="Q81" s="10">
        <v>0</v>
      </c>
      <c r="R81" s="10">
        <v>0</v>
      </c>
      <c r="S81" s="10">
        <v>0</v>
      </c>
      <c r="T81" s="10">
        <f t="shared" si="83"/>
        <v>0</v>
      </c>
      <c r="U81" s="10">
        <v>0</v>
      </c>
      <c r="V81" s="10">
        <v>0</v>
      </c>
      <c r="W81" s="10">
        <v>0</v>
      </c>
      <c r="X81" s="10">
        <v>0</v>
      </c>
      <c r="Y81" s="17">
        <v>0</v>
      </c>
      <c r="Z81" s="10">
        <v>0</v>
      </c>
      <c r="AA81" s="10">
        <v>0</v>
      </c>
      <c r="AB81" s="10">
        <v>0</v>
      </c>
      <c r="AC81" s="10">
        <v>0</v>
      </c>
      <c r="AD81" s="19" t="s">
        <v>91</v>
      </c>
      <c r="AE81" s="10">
        <f t="shared" si="102"/>
        <v>2.3859999999999999E-2</v>
      </c>
      <c r="AF81" s="10">
        <f t="shared" si="103"/>
        <v>2.3859999999999999E-2</v>
      </c>
      <c r="AG81" s="10">
        <f t="shared" si="104"/>
        <v>0</v>
      </c>
      <c r="AH81" s="10">
        <f t="shared" si="105"/>
        <v>0</v>
      </c>
      <c r="AI81" s="10">
        <f t="shared" si="106"/>
        <v>0</v>
      </c>
      <c r="AJ81" s="10">
        <f t="shared" si="84"/>
        <v>0</v>
      </c>
      <c r="AK81" s="10">
        <v>0</v>
      </c>
      <c r="AL81" s="10">
        <v>0</v>
      </c>
      <c r="AM81" s="10">
        <v>0</v>
      </c>
      <c r="AN81" s="10">
        <v>0</v>
      </c>
      <c r="AO81" s="10">
        <f t="shared" si="107"/>
        <v>2.3859999999999999E-2</v>
      </c>
      <c r="AP81" s="10">
        <v>2.3859999999999999E-2</v>
      </c>
      <c r="AQ81" s="10">
        <v>0</v>
      </c>
      <c r="AR81" s="10">
        <v>0</v>
      </c>
      <c r="AS81" s="10">
        <v>0</v>
      </c>
      <c r="AT81" s="10">
        <f t="shared" si="108"/>
        <v>0</v>
      </c>
      <c r="AU81" s="10">
        <v>0</v>
      </c>
      <c r="AV81" s="10">
        <v>0</v>
      </c>
      <c r="AW81" s="10">
        <v>0</v>
      </c>
      <c r="AX81" s="10">
        <v>0</v>
      </c>
      <c r="AY81" s="10">
        <v>0</v>
      </c>
      <c r="AZ81" s="10">
        <v>0</v>
      </c>
      <c r="BA81" s="10">
        <v>0</v>
      </c>
      <c r="BB81" s="10">
        <v>0</v>
      </c>
      <c r="BC81" s="10">
        <v>0</v>
      </c>
    </row>
    <row r="82" spans="1:55" ht="37.5" x14ac:dyDescent="0.25">
      <c r="A82" s="12" t="s">
        <v>402</v>
      </c>
      <c r="B82" s="51" t="s">
        <v>304</v>
      </c>
      <c r="C82" s="42" t="s">
        <v>305</v>
      </c>
      <c r="D82" s="19">
        <v>3.01</v>
      </c>
      <c r="E82" s="10">
        <f t="shared" si="96"/>
        <v>2.5042611359999998</v>
      </c>
      <c r="F82" s="10">
        <f t="shared" si="97"/>
        <v>0</v>
      </c>
      <c r="G82" s="10">
        <f t="shared" si="98"/>
        <v>2.4278581679999998</v>
      </c>
      <c r="H82" s="10">
        <f t="shared" si="99"/>
        <v>0</v>
      </c>
      <c r="I82" s="10">
        <f t="shared" si="100"/>
        <v>7.6402968000000002E-2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f t="shared" si="101"/>
        <v>2.4278581679999998</v>
      </c>
      <c r="P82" s="10">
        <v>0</v>
      </c>
      <c r="Q82" s="10">
        <f>2.02321514*1.2</f>
        <v>2.4278581679999998</v>
      </c>
      <c r="R82" s="10">
        <v>0</v>
      </c>
      <c r="S82" s="10">
        <v>0</v>
      </c>
      <c r="T82" s="10">
        <f t="shared" si="83"/>
        <v>7.6402968000000002E-2</v>
      </c>
      <c r="U82" s="10">
        <v>0</v>
      </c>
      <c r="V82" s="10">
        <v>0</v>
      </c>
      <c r="W82" s="10">
        <v>0</v>
      </c>
      <c r="X82" s="10">
        <f>0.06366914*1.2</f>
        <v>7.6402968000000002E-2</v>
      </c>
      <c r="Y82" s="17">
        <v>0</v>
      </c>
      <c r="Z82" s="10">
        <v>0</v>
      </c>
      <c r="AA82" s="10">
        <v>0</v>
      </c>
      <c r="AB82" s="10">
        <v>0</v>
      </c>
      <c r="AC82" s="10">
        <v>0</v>
      </c>
      <c r="AD82" s="19">
        <v>2.5099999999999998</v>
      </c>
      <c r="AE82" s="10">
        <f t="shared" si="102"/>
        <v>2.08688428</v>
      </c>
      <c r="AF82" s="10">
        <f t="shared" si="103"/>
        <v>0</v>
      </c>
      <c r="AG82" s="10">
        <f t="shared" si="104"/>
        <v>2.02321514</v>
      </c>
      <c r="AH82" s="10">
        <f t="shared" si="105"/>
        <v>0</v>
      </c>
      <c r="AI82" s="10">
        <f t="shared" si="106"/>
        <v>6.3669139999999999E-2</v>
      </c>
      <c r="AJ82" s="10">
        <f t="shared" si="84"/>
        <v>0</v>
      </c>
      <c r="AK82" s="10">
        <v>0</v>
      </c>
      <c r="AL82" s="10">
        <v>0</v>
      </c>
      <c r="AM82" s="10">
        <v>0</v>
      </c>
      <c r="AN82" s="10">
        <v>0</v>
      </c>
      <c r="AO82" s="10">
        <f t="shared" si="107"/>
        <v>2.08688428</v>
      </c>
      <c r="AP82" s="10">
        <v>0</v>
      </c>
      <c r="AQ82" s="10">
        <v>2.02321514</v>
      </c>
      <c r="AR82" s="10">
        <v>0</v>
      </c>
      <c r="AS82" s="10">
        <v>6.3669139999999999E-2</v>
      </c>
      <c r="AT82" s="10">
        <f t="shared" si="108"/>
        <v>0</v>
      </c>
      <c r="AU82" s="10">
        <v>0</v>
      </c>
      <c r="AV82" s="10">
        <v>0</v>
      </c>
      <c r="AW82" s="10">
        <v>0</v>
      </c>
      <c r="AX82" s="10">
        <v>0</v>
      </c>
      <c r="AY82" s="10">
        <v>0</v>
      </c>
      <c r="AZ82" s="10">
        <v>0</v>
      </c>
      <c r="BA82" s="10">
        <v>0</v>
      </c>
      <c r="BB82" s="10">
        <v>0</v>
      </c>
      <c r="BC82" s="10">
        <v>0</v>
      </c>
    </row>
    <row r="83" spans="1:55" ht="31.5" x14ac:dyDescent="0.25">
      <c r="A83" s="12" t="s">
        <v>403</v>
      </c>
      <c r="B83" s="40" t="s">
        <v>200</v>
      </c>
      <c r="C83" s="42" t="s">
        <v>201</v>
      </c>
      <c r="D83" s="19">
        <v>1.54</v>
      </c>
      <c r="E83" s="10">
        <f t="shared" si="57"/>
        <v>1.27</v>
      </c>
      <c r="F83" s="10">
        <f t="shared" si="57"/>
        <v>0.252</v>
      </c>
      <c r="G83" s="10">
        <f t="shared" si="57"/>
        <v>0.96</v>
      </c>
      <c r="H83" s="10">
        <f t="shared" si="57"/>
        <v>0</v>
      </c>
      <c r="I83" s="10">
        <f t="shared" si="57"/>
        <v>5.8137599999999998E-2</v>
      </c>
      <c r="J83" s="10">
        <v>1.27</v>
      </c>
      <c r="K83" s="10">
        <f>0.21*1.2</f>
        <v>0.252</v>
      </c>
      <c r="L83" s="10">
        <v>0.96</v>
      </c>
      <c r="M83" s="10">
        <v>0</v>
      </c>
      <c r="N83" s="10">
        <f>0.048448*1.2</f>
        <v>5.8137599999999998E-2</v>
      </c>
      <c r="O83" s="10">
        <f t="shared" si="58"/>
        <v>0</v>
      </c>
      <c r="P83" s="10">
        <v>0</v>
      </c>
      <c r="Q83" s="10">
        <v>0</v>
      </c>
      <c r="R83" s="10">
        <v>0</v>
      </c>
      <c r="S83" s="10">
        <v>0</v>
      </c>
      <c r="T83" s="10">
        <f t="shared" si="83"/>
        <v>0</v>
      </c>
      <c r="U83" s="10">
        <v>0</v>
      </c>
      <c r="V83" s="10">
        <v>0</v>
      </c>
      <c r="W83" s="10">
        <v>0</v>
      </c>
      <c r="X83" s="10">
        <v>0</v>
      </c>
      <c r="Y83" s="17">
        <v>0</v>
      </c>
      <c r="Z83" s="10">
        <v>0</v>
      </c>
      <c r="AA83" s="10">
        <v>0</v>
      </c>
      <c r="AB83" s="10">
        <v>0</v>
      </c>
      <c r="AC83" s="10">
        <v>0</v>
      </c>
      <c r="AD83" s="19">
        <v>1.9</v>
      </c>
      <c r="AE83" s="10">
        <f t="shared" si="90"/>
        <v>1.6749024200000002</v>
      </c>
      <c r="AF83" s="10">
        <f t="shared" si="91"/>
        <v>0.21299999999999999</v>
      </c>
      <c r="AG83" s="10">
        <f t="shared" si="92"/>
        <v>1.4119024200000001</v>
      </c>
      <c r="AH83" s="10">
        <f t="shared" si="93"/>
        <v>0</v>
      </c>
      <c r="AI83" s="10">
        <f t="shared" si="94"/>
        <v>0.05</v>
      </c>
      <c r="AJ83" s="10">
        <f t="shared" si="84"/>
        <v>1.6749024200000002</v>
      </c>
      <c r="AK83" s="10">
        <v>0.21299999999999999</v>
      </c>
      <c r="AL83" s="10">
        <v>1.4119024200000001</v>
      </c>
      <c r="AM83" s="10">
        <v>0</v>
      </c>
      <c r="AN83" s="10">
        <v>0.05</v>
      </c>
      <c r="AO83" s="10">
        <f t="shared" si="85"/>
        <v>0</v>
      </c>
      <c r="AP83" s="10">
        <v>0</v>
      </c>
      <c r="AQ83" s="10">
        <v>0</v>
      </c>
      <c r="AR83" s="10">
        <v>0</v>
      </c>
      <c r="AS83" s="10">
        <v>0</v>
      </c>
      <c r="AT83" s="10">
        <f t="shared" si="86"/>
        <v>0</v>
      </c>
      <c r="AU83" s="10">
        <v>0</v>
      </c>
      <c r="AV83" s="10">
        <v>0</v>
      </c>
      <c r="AW83" s="10">
        <v>0</v>
      </c>
      <c r="AX83" s="10">
        <v>0</v>
      </c>
      <c r="AY83" s="10">
        <v>0</v>
      </c>
      <c r="AZ83" s="10">
        <v>0</v>
      </c>
      <c r="BA83" s="10">
        <v>0</v>
      </c>
      <c r="BB83" s="10">
        <v>0</v>
      </c>
      <c r="BC83" s="10">
        <v>0</v>
      </c>
    </row>
    <row r="84" spans="1:55" ht="47.25" x14ac:dyDescent="0.25">
      <c r="A84" s="12" t="s">
        <v>404</v>
      </c>
      <c r="B84" s="40" t="s">
        <v>204</v>
      </c>
      <c r="C84" s="42" t="s">
        <v>205</v>
      </c>
      <c r="D84" s="19">
        <v>0.12</v>
      </c>
      <c r="E84" s="10">
        <f t="shared" si="57"/>
        <v>5.5E-2</v>
      </c>
      <c r="F84" s="10">
        <f t="shared" si="57"/>
        <v>0.06</v>
      </c>
      <c r="G84" s="10">
        <f t="shared" si="57"/>
        <v>0</v>
      </c>
      <c r="H84" s="10">
        <f t="shared" si="57"/>
        <v>0</v>
      </c>
      <c r="I84" s="10">
        <f t="shared" si="57"/>
        <v>0</v>
      </c>
      <c r="J84" s="10">
        <v>5.5E-2</v>
      </c>
      <c r="K84" s="10">
        <v>0.06</v>
      </c>
      <c r="L84" s="10">
        <v>0</v>
      </c>
      <c r="M84" s="10">
        <v>0</v>
      </c>
      <c r="N84" s="10">
        <v>0</v>
      </c>
      <c r="O84" s="10">
        <f t="shared" si="58"/>
        <v>0</v>
      </c>
      <c r="P84" s="10">
        <v>0</v>
      </c>
      <c r="Q84" s="10">
        <v>0</v>
      </c>
      <c r="R84" s="10">
        <v>0</v>
      </c>
      <c r="S84" s="10">
        <v>0</v>
      </c>
      <c r="T84" s="10">
        <f t="shared" si="83"/>
        <v>0</v>
      </c>
      <c r="U84" s="10">
        <v>0</v>
      </c>
      <c r="V84" s="10">
        <v>0</v>
      </c>
      <c r="W84" s="10">
        <v>0</v>
      </c>
      <c r="X84" s="10">
        <v>0</v>
      </c>
      <c r="Y84" s="17">
        <v>0</v>
      </c>
      <c r="Z84" s="10">
        <v>0</v>
      </c>
      <c r="AA84" s="10">
        <v>0</v>
      </c>
      <c r="AB84" s="10">
        <v>0</v>
      </c>
      <c r="AC84" s="10">
        <v>0</v>
      </c>
      <c r="AD84" s="19" t="s">
        <v>91</v>
      </c>
      <c r="AE84" s="10">
        <f t="shared" si="90"/>
        <v>0</v>
      </c>
      <c r="AF84" s="10">
        <f t="shared" si="91"/>
        <v>0</v>
      </c>
      <c r="AG84" s="10">
        <f t="shared" si="92"/>
        <v>0</v>
      </c>
      <c r="AH84" s="10">
        <f t="shared" si="93"/>
        <v>0</v>
      </c>
      <c r="AI84" s="10">
        <f t="shared" si="94"/>
        <v>0</v>
      </c>
      <c r="AJ84" s="10">
        <f t="shared" si="84"/>
        <v>0</v>
      </c>
      <c r="AK84" s="10">
        <v>0</v>
      </c>
      <c r="AL84" s="10">
        <v>0</v>
      </c>
      <c r="AM84" s="10">
        <v>0</v>
      </c>
      <c r="AN84" s="10">
        <v>0</v>
      </c>
      <c r="AO84" s="10">
        <f t="shared" si="85"/>
        <v>0</v>
      </c>
      <c r="AP84" s="10">
        <v>0</v>
      </c>
      <c r="AQ84" s="10">
        <v>0</v>
      </c>
      <c r="AR84" s="10">
        <v>0</v>
      </c>
      <c r="AS84" s="10">
        <v>0</v>
      </c>
      <c r="AT84" s="10">
        <f t="shared" si="86"/>
        <v>0</v>
      </c>
      <c r="AU84" s="10">
        <v>0</v>
      </c>
      <c r="AV84" s="10">
        <v>0</v>
      </c>
      <c r="AW84" s="10">
        <v>0</v>
      </c>
      <c r="AX84" s="10">
        <v>0</v>
      </c>
      <c r="AY84" s="10">
        <v>0</v>
      </c>
      <c r="AZ84" s="10">
        <v>0</v>
      </c>
      <c r="BA84" s="10">
        <v>0</v>
      </c>
      <c r="BB84" s="10">
        <v>0</v>
      </c>
      <c r="BC84" s="10">
        <v>0</v>
      </c>
    </row>
    <row r="85" spans="1:55" ht="47.25" x14ac:dyDescent="0.25">
      <c r="A85" s="12" t="s">
        <v>405</v>
      </c>
      <c r="B85" s="40" t="s">
        <v>202</v>
      </c>
      <c r="C85" s="42" t="s">
        <v>203</v>
      </c>
      <c r="D85" s="19">
        <v>7.04</v>
      </c>
      <c r="E85" s="10">
        <f t="shared" si="57"/>
        <v>5.51</v>
      </c>
      <c r="F85" s="10">
        <f t="shared" si="57"/>
        <v>0</v>
      </c>
      <c r="G85" s="10">
        <f t="shared" si="57"/>
        <v>5.51</v>
      </c>
      <c r="H85" s="10">
        <f t="shared" si="57"/>
        <v>0</v>
      </c>
      <c r="I85" s="10">
        <f t="shared" si="57"/>
        <v>0</v>
      </c>
      <c r="J85" s="10">
        <v>5.51</v>
      </c>
      <c r="K85" s="10">
        <v>0</v>
      </c>
      <c r="L85" s="10">
        <v>5.51</v>
      </c>
      <c r="M85" s="10">
        <v>0</v>
      </c>
      <c r="N85" s="10">
        <v>0</v>
      </c>
      <c r="O85" s="10">
        <f t="shared" si="58"/>
        <v>0</v>
      </c>
      <c r="P85" s="10">
        <v>0</v>
      </c>
      <c r="Q85" s="10">
        <v>0</v>
      </c>
      <c r="R85" s="10">
        <v>0</v>
      </c>
      <c r="S85" s="10">
        <v>0</v>
      </c>
      <c r="T85" s="10">
        <f t="shared" si="83"/>
        <v>0</v>
      </c>
      <c r="U85" s="10">
        <v>0</v>
      </c>
      <c r="V85" s="10">
        <v>0</v>
      </c>
      <c r="W85" s="10">
        <v>0</v>
      </c>
      <c r="X85" s="10">
        <v>0</v>
      </c>
      <c r="Y85" s="17">
        <v>0</v>
      </c>
      <c r="Z85" s="10">
        <v>0</v>
      </c>
      <c r="AA85" s="10">
        <v>0</v>
      </c>
      <c r="AB85" s="10">
        <v>0</v>
      </c>
      <c r="AC85" s="10">
        <v>0</v>
      </c>
      <c r="AD85" s="19" t="s">
        <v>91</v>
      </c>
      <c r="AE85" s="10">
        <f t="shared" si="90"/>
        <v>0</v>
      </c>
      <c r="AF85" s="10">
        <f t="shared" si="91"/>
        <v>0</v>
      </c>
      <c r="AG85" s="10">
        <f t="shared" si="92"/>
        <v>0</v>
      </c>
      <c r="AH85" s="10">
        <f t="shared" si="93"/>
        <v>0</v>
      </c>
      <c r="AI85" s="10">
        <f t="shared" si="94"/>
        <v>0</v>
      </c>
      <c r="AJ85" s="10">
        <f t="shared" si="84"/>
        <v>0</v>
      </c>
      <c r="AK85" s="10">
        <v>0</v>
      </c>
      <c r="AL85" s="10">
        <v>0</v>
      </c>
      <c r="AM85" s="10">
        <v>0</v>
      </c>
      <c r="AN85" s="10">
        <v>0</v>
      </c>
      <c r="AO85" s="10">
        <f t="shared" si="85"/>
        <v>0</v>
      </c>
      <c r="AP85" s="10">
        <v>0</v>
      </c>
      <c r="AQ85" s="10">
        <v>0</v>
      </c>
      <c r="AR85" s="10">
        <v>0</v>
      </c>
      <c r="AS85" s="10">
        <v>0</v>
      </c>
      <c r="AT85" s="10">
        <f t="shared" si="86"/>
        <v>0</v>
      </c>
      <c r="AU85" s="10">
        <v>0</v>
      </c>
      <c r="AV85" s="10">
        <v>0</v>
      </c>
      <c r="AW85" s="10">
        <v>0</v>
      </c>
      <c r="AX85" s="10">
        <v>0</v>
      </c>
      <c r="AY85" s="10">
        <v>0</v>
      </c>
      <c r="AZ85" s="10">
        <v>0</v>
      </c>
      <c r="BA85" s="10">
        <v>0</v>
      </c>
      <c r="BB85" s="10">
        <v>0</v>
      </c>
      <c r="BC85" s="10">
        <v>0</v>
      </c>
    </row>
    <row r="86" spans="1:55" ht="31.5" x14ac:dyDescent="0.25">
      <c r="A86" s="12" t="s">
        <v>406</v>
      </c>
      <c r="B86" s="49" t="s">
        <v>206</v>
      </c>
      <c r="C86" s="40" t="s">
        <v>246</v>
      </c>
      <c r="D86" s="19">
        <v>1.0900000000000001</v>
      </c>
      <c r="E86" s="10">
        <f t="shared" si="57"/>
        <v>0.18</v>
      </c>
      <c r="F86" s="10">
        <f t="shared" si="57"/>
        <v>0</v>
      </c>
      <c r="G86" s="10">
        <f t="shared" si="57"/>
        <v>0.18</v>
      </c>
      <c r="H86" s="10">
        <f t="shared" si="57"/>
        <v>0</v>
      </c>
      <c r="I86" s="10">
        <f t="shared" si="57"/>
        <v>0</v>
      </c>
      <c r="J86" s="10">
        <v>0.18</v>
      </c>
      <c r="K86" s="10">
        <v>0</v>
      </c>
      <c r="L86" s="10">
        <v>0.18</v>
      </c>
      <c r="M86" s="10">
        <v>0</v>
      </c>
      <c r="N86" s="10">
        <v>0</v>
      </c>
      <c r="O86" s="10">
        <f t="shared" si="58"/>
        <v>0</v>
      </c>
      <c r="P86" s="10">
        <v>0</v>
      </c>
      <c r="Q86" s="10">
        <v>0</v>
      </c>
      <c r="R86" s="10">
        <v>0</v>
      </c>
      <c r="S86" s="10">
        <v>0</v>
      </c>
      <c r="T86" s="10">
        <f t="shared" si="83"/>
        <v>0</v>
      </c>
      <c r="U86" s="10">
        <v>0</v>
      </c>
      <c r="V86" s="10">
        <v>0</v>
      </c>
      <c r="W86" s="10">
        <v>0</v>
      </c>
      <c r="X86" s="10">
        <v>0</v>
      </c>
      <c r="Y86" s="17">
        <v>0</v>
      </c>
      <c r="Z86" s="10">
        <v>0</v>
      </c>
      <c r="AA86" s="10">
        <v>0</v>
      </c>
      <c r="AB86" s="10">
        <v>0</v>
      </c>
      <c r="AC86" s="10">
        <v>0</v>
      </c>
      <c r="AD86" s="19">
        <v>0.91</v>
      </c>
      <c r="AE86" s="10">
        <f t="shared" si="90"/>
        <v>0.15</v>
      </c>
      <c r="AF86" s="10">
        <f t="shared" si="91"/>
        <v>0</v>
      </c>
      <c r="AG86" s="10">
        <f t="shared" si="92"/>
        <v>0.15</v>
      </c>
      <c r="AH86" s="10">
        <f t="shared" si="93"/>
        <v>0</v>
      </c>
      <c r="AI86" s="10">
        <f t="shared" si="94"/>
        <v>0</v>
      </c>
      <c r="AJ86" s="10">
        <f t="shared" si="84"/>
        <v>0.15</v>
      </c>
      <c r="AK86" s="10">
        <v>0</v>
      </c>
      <c r="AL86" s="10">
        <v>0.15</v>
      </c>
      <c r="AM86" s="10">
        <v>0</v>
      </c>
      <c r="AN86" s="10">
        <v>0</v>
      </c>
      <c r="AO86" s="10">
        <f t="shared" si="85"/>
        <v>0</v>
      </c>
      <c r="AP86" s="10">
        <v>0</v>
      </c>
      <c r="AQ86" s="10">
        <v>0</v>
      </c>
      <c r="AR86" s="10">
        <v>0</v>
      </c>
      <c r="AS86" s="10">
        <v>0</v>
      </c>
      <c r="AT86" s="10">
        <f t="shared" si="86"/>
        <v>0</v>
      </c>
      <c r="AU86" s="10">
        <v>0</v>
      </c>
      <c r="AV86" s="10">
        <v>0</v>
      </c>
      <c r="AW86" s="10">
        <v>0</v>
      </c>
      <c r="AX86" s="10">
        <v>0</v>
      </c>
      <c r="AY86" s="10">
        <v>0</v>
      </c>
      <c r="AZ86" s="10">
        <v>0</v>
      </c>
      <c r="BA86" s="10">
        <v>0</v>
      </c>
      <c r="BB86" s="10">
        <v>0</v>
      </c>
      <c r="BC86" s="10">
        <v>0</v>
      </c>
    </row>
    <row r="87" spans="1:55" ht="31.5" x14ac:dyDescent="0.25">
      <c r="A87" s="12" t="s">
        <v>407</v>
      </c>
      <c r="B87" s="40" t="s">
        <v>186</v>
      </c>
      <c r="C87" s="42" t="s">
        <v>187</v>
      </c>
      <c r="D87" s="19">
        <v>1.5</v>
      </c>
      <c r="E87" s="10">
        <f t="shared" ref="E87:I97" si="109">J87+O87+T87+Y87</f>
        <v>1.37</v>
      </c>
      <c r="F87" s="10">
        <f t="shared" si="109"/>
        <v>0.13999200000000001</v>
      </c>
      <c r="G87" s="10">
        <f t="shared" si="109"/>
        <v>1.1500249199999999</v>
      </c>
      <c r="H87" s="10">
        <f t="shared" si="109"/>
        <v>0</v>
      </c>
      <c r="I87" s="10">
        <f t="shared" si="109"/>
        <v>7.6898399999999992E-2</v>
      </c>
      <c r="J87" s="10">
        <v>1.37</v>
      </c>
      <c r="K87" s="10">
        <f>0.11666*1.2</f>
        <v>0.13999200000000001</v>
      </c>
      <c r="L87" s="10">
        <f>0.9583541*1.2</f>
        <v>1.1500249199999999</v>
      </c>
      <c r="M87" s="10">
        <v>0</v>
      </c>
      <c r="N87" s="10">
        <f>0.064082*1.2</f>
        <v>7.6898399999999992E-2</v>
      </c>
      <c r="O87" s="10">
        <f t="shared" si="58"/>
        <v>0</v>
      </c>
      <c r="P87" s="10">
        <v>0</v>
      </c>
      <c r="Q87" s="10">
        <v>0</v>
      </c>
      <c r="R87" s="10">
        <v>0</v>
      </c>
      <c r="S87" s="10">
        <v>0</v>
      </c>
      <c r="T87" s="10">
        <f t="shared" si="83"/>
        <v>0</v>
      </c>
      <c r="U87" s="10">
        <v>0</v>
      </c>
      <c r="V87" s="10">
        <v>0</v>
      </c>
      <c r="W87" s="10">
        <v>0</v>
      </c>
      <c r="X87" s="10">
        <v>0</v>
      </c>
      <c r="Y87" s="17">
        <v>0</v>
      </c>
      <c r="Z87" s="10">
        <v>0</v>
      </c>
      <c r="AA87" s="10">
        <v>0</v>
      </c>
      <c r="AB87" s="10">
        <v>0</v>
      </c>
      <c r="AC87" s="10">
        <v>0</v>
      </c>
      <c r="AD87" s="19">
        <v>2.3199999999999998</v>
      </c>
      <c r="AE87" s="10">
        <f t="shared" si="90"/>
        <v>2.2116600000000002</v>
      </c>
      <c r="AF87" s="10">
        <f t="shared" si="91"/>
        <v>0.11666</v>
      </c>
      <c r="AG87" s="10">
        <f t="shared" si="92"/>
        <v>2.0350000000000001</v>
      </c>
      <c r="AH87" s="10">
        <f t="shared" si="93"/>
        <v>0</v>
      </c>
      <c r="AI87" s="10">
        <f t="shared" si="94"/>
        <v>0.06</v>
      </c>
      <c r="AJ87" s="10">
        <f>SUM(AK87:AN87)</f>
        <v>2.2116600000000002</v>
      </c>
      <c r="AK87" s="10">
        <v>0.11666</v>
      </c>
      <c r="AL87" s="10">
        <v>2.0350000000000001</v>
      </c>
      <c r="AM87" s="10">
        <v>0</v>
      </c>
      <c r="AN87" s="10">
        <v>0.06</v>
      </c>
      <c r="AO87" s="10">
        <f t="shared" si="85"/>
        <v>0</v>
      </c>
      <c r="AP87" s="10">
        <v>0</v>
      </c>
      <c r="AQ87" s="10">
        <v>0</v>
      </c>
      <c r="AR87" s="10">
        <v>0</v>
      </c>
      <c r="AS87" s="10">
        <v>0</v>
      </c>
      <c r="AT87" s="10">
        <f t="shared" si="86"/>
        <v>0</v>
      </c>
      <c r="AU87" s="10">
        <v>0</v>
      </c>
      <c r="AV87" s="10">
        <v>0</v>
      </c>
      <c r="AW87" s="10">
        <v>0</v>
      </c>
      <c r="AX87" s="10">
        <v>0</v>
      </c>
      <c r="AY87" s="10">
        <v>0</v>
      </c>
      <c r="AZ87" s="10">
        <v>0</v>
      </c>
      <c r="BA87" s="10">
        <v>0</v>
      </c>
      <c r="BB87" s="10">
        <v>0</v>
      </c>
      <c r="BC87" s="10">
        <v>0</v>
      </c>
    </row>
    <row r="88" spans="1:55" ht="31.5" x14ac:dyDescent="0.25">
      <c r="A88" s="12" t="s">
        <v>408</v>
      </c>
      <c r="B88" s="40" t="s">
        <v>207</v>
      </c>
      <c r="C88" s="40" t="s">
        <v>208</v>
      </c>
      <c r="D88" s="19">
        <v>2.08</v>
      </c>
      <c r="E88" s="10">
        <f t="shared" si="109"/>
        <v>1.72</v>
      </c>
      <c r="F88" s="10">
        <f t="shared" si="109"/>
        <v>0</v>
      </c>
      <c r="G88" s="10">
        <f t="shared" si="109"/>
        <v>1.6339999999999999</v>
      </c>
      <c r="H88" s="10">
        <f t="shared" si="109"/>
        <v>0</v>
      </c>
      <c r="I88" s="10">
        <f t="shared" si="109"/>
        <v>8.1600000000000006E-2</v>
      </c>
      <c r="J88" s="10">
        <v>0.17</v>
      </c>
      <c r="K88" s="10">
        <v>0</v>
      </c>
      <c r="L88" s="10">
        <v>0.17</v>
      </c>
      <c r="M88" s="10">
        <v>0</v>
      </c>
      <c r="N88" s="10">
        <v>0</v>
      </c>
      <c r="O88" s="10">
        <f t="shared" si="58"/>
        <v>0</v>
      </c>
      <c r="P88" s="10">
        <v>0</v>
      </c>
      <c r="Q88" s="10">
        <v>0</v>
      </c>
      <c r="R88" s="10">
        <v>0</v>
      </c>
      <c r="S88" s="10">
        <v>0</v>
      </c>
      <c r="T88" s="10">
        <f t="shared" si="83"/>
        <v>0</v>
      </c>
      <c r="U88" s="10">
        <v>0</v>
      </c>
      <c r="V88" s="10">
        <v>0</v>
      </c>
      <c r="W88" s="10">
        <v>0</v>
      </c>
      <c r="X88" s="10">
        <v>0</v>
      </c>
      <c r="Y88" s="17">
        <v>1.55</v>
      </c>
      <c r="Z88" s="10">
        <v>0</v>
      </c>
      <c r="AA88" s="10">
        <v>1.464</v>
      </c>
      <c r="AB88" s="10">
        <v>0</v>
      </c>
      <c r="AC88" s="10">
        <v>8.1600000000000006E-2</v>
      </c>
      <c r="AD88" s="19">
        <v>1.73</v>
      </c>
      <c r="AE88" s="10">
        <f t="shared" si="90"/>
        <v>1.43009739</v>
      </c>
      <c r="AF88" s="10">
        <f t="shared" si="91"/>
        <v>0</v>
      </c>
      <c r="AG88" s="10">
        <f t="shared" si="92"/>
        <v>1.3616756800000001</v>
      </c>
      <c r="AH88" s="10">
        <f t="shared" si="93"/>
        <v>0</v>
      </c>
      <c r="AI88" s="10">
        <f t="shared" si="94"/>
        <v>6.8000000000000005E-2</v>
      </c>
      <c r="AJ88" s="10">
        <f t="shared" si="84"/>
        <v>0.14167568</v>
      </c>
      <c r="AK88" s="10">
        <v>0</v>
      </c>
      <c r="AL88" s="10">
        <v>0.14167568</v>
      </c>
      <c r="AM88" s="10">
        <v>0</v>
      </c>
      <c r="AN88" s="10">
        <v>0</v>
      </c>
      <c r="AO88" s="10">
        <f t="shared" si="85"/>
        <v>0</v>
      </c>
      <c r="AP88" s="10">
        <v>0</v>
      </c>
      <c r="AQ88" s="10">
        <v>0</v>
      </c>
      <c r="AR88" s="10">
        <v>0</v>
      </c>
      <c r="AS88" s="10">
        <v>0</v>
      </c>
      <c r="AT88" s="10">
        <f t="shared" si="86"/>
        <v>0</v>
      </c>
      <c r="AU88" s="10">
        <v>0</v>
      </c>
      <c r="AV88" s="10">
        <v>0</v>
      </c>
      <c r="AW88" s="10">
        <v>0</v>
      </c>
      <c r="AX88" s="10">
        <v>0</v>
      </c>
      <c r="AY88" s="10">
        <v>1.2884217099999999</v>
      </c>
      <c r="AZ88" s="10">
        <v>0</v>
      </c>
      <c r="BA88" s="10">
        <v>1.22</v>
      </c>
      <c r="BB88" s="10">
        <v>0</v>
      </c>
      <c r="BC88" s="10">
        <v>6.8000000000000005E-2</v>
      </c>
    </row>
    <row r="89" spans="1:55" ht="47.25" x14ac:dyDescent="0.25">
      <c r="A89" s="12" t="s">
        <v>409</v>
      </c>
      <c r="B89" s="40" t="s">
        <v>188</v>
      </c>
      <c r="C89" s="40" t="s">
        <v>189</v>
      </c>
      <c r="D89" s="19">
        <v>3.35</v>
      </c>
      <c r="E89" s="10">
        <f t="shared" si="109"/>
        <v>3.35</v>
      </c>
      <c r="F89" s="10">
        <f t="shared" si="109"/>
        <v>0</v>
      </c>
      <c r="G89" s="10">
        <f t="shared" si="109"/>
        <v>2.3807999999999998</v>
      </c>
      <c r="H89" s="10">
        <f t="shared" si="109"/>
        <v>0</v>
      </c>
      <c r="I89" s="10">
        <f t="shared" si="109"/>
        <v>0.97070519999999993</v>
      </c>
      <c r="J89" s="10">
        <v>3.35</v>
      </c>
      <c r="K89" s="10">
        <v>0</v>
      </c>
      <c r="L89" s="10">
        <f>1.984*1.2</f>
        <v>2.3807999999999998</v>
      </c>
      <c r="M89" s="10">
        <v>0</v>
      </c>
      <c r="N89" s="10">
        <f>0.808921*1.2</f>
        <v>0.97070519999999993</v>
      </c>
      <c r="O89" s="10">
        <f t="shared" si="58"/>
        <v>0</v>
      </c>
      <c r="P89" s="10">
        <v>0</v>
      </c>
      <c r="Q89" s="10">
        <v>0</v>
      </c>
      <c r="R89" s="10">
        <v>0</v>
      </c>
      <c r="S89" s="10">
        <v>0</v>
      </c>
      <c r="T89" s="10">
        <f t="shared" si="83"/>
        <v>0</v>
      </c>
      <c r="U89" s="10">
        <v>0</v>
      </c>
      <c r="V89" s="10">
        <v>0</v>
      </c>
      <c r="W89" s="10">
        <v>0</v>
      </c>
      <c r="X89" s="10">
        <v>0</v>
      </c>
      <c r="Y89" s="17">
        <v>0</v>
      </c>
      <c r="Z89" s="10">
        <v>0</v>
      </c>
      <c r="AA89" s="10">
        <v>0</v>
      </c>
      <c r="AB89" s="10">
        <v>0</v>
      </c>
      <c r="AC89" s="10">
        <v>0</v>
      </c>
      <c r="AD89" s="19" t="s">
        <v>91</v>
      </c>
      <c r="AE89" s="10">
        <f t="shared" si="90"/>
        <v>0</v>
      </c>
      <c r="AF89" s="10">
        <f t="shared" si="91"/>
        <v>0</v>
      </c>
      <c r="AG89" s="10">
        <f t="shared" si="92"/>
        <v>0</v>
      </c>
      <c r="AH89" s="10">
        <f t="shared" si="93"/>
        <v>0</v>
      </c>
      <c r="AI89" s="10">
        <f t="shared" si="94"/>
        <v>0</v>
      </c>
      <c r="AJ89" s="10">
        <f t="shared" si="84"/>
        <v>0</v>
      </c>
      <c r="AK89" s="10">
        <v>0</v>
      </c>
      <c r="AL89" s="10">
        <v>0</v>
      </c>
      <c r="AM89" s="10">
        <v>0</v>
      </c>
      <c r="AN89" s="10">
        <v>0</v>
      </c>
      <c r="AO89" s="10">
        <f t="shared" si="85"/>
        <v>0</v>
      </c>
      <c r="AP89" s="10">
        <v>0</v>
      </c>
      <c r="AQ89" s="10">
        <v>0</v>
      </c>
      <c r="AR89" s="10">
        <v>0</v>
      </c>
      <c r="AS89" s="10">
        <v>0</v>
      </c>
      <c r="AT89" s="10">
        <f t="shared" si="86"/>
        <v>0</v>
      </c>
      <c r="AU89" s="10">
        <v>0</v>
      </c>
      <c r="AV89" s="10">
        <v>0</v>
      </c>
      <c r="AW89" s="10">
        <v>0</v>
      </c>
      <c r="AX89" s="10">
        <v>0</v>
      </c>
      <c r="AY89" s="10">
        <v>0</v>
      </c>
      <c r="AZ89" s="10">
        <v>0</v>
      </c>
      <c r="BA89" s="10">
        <v>0</v>
      </c>
      <c r="BB89" s="10">
        <v>0</v>
      </c>
      <c r="BC89" s="10">
        <v>0</v>
      </c>
    </row>
    <row r="90" spans="1:55" ht="47.25" x14ac:dyDescent="0.25">
      <c r="A90" s="12" t="s">
        <v>410</v>
      </c>
      <c r="B90" s="40" t="s">
        <v>209</v>
      </c>
      <c r="C90" s="40" t="s">
        <v>210</v>
      </c>
      <c r="D90" s="19">
        <v>0.34</v>
      </c>
      <c r="E90" s="10">
        <f t="shared" si="109"/>
        <v>0.33479244000000002</v>
      </c>
      <c r="F90" s="10">
        <f t="shared" si="109"/>
        <v>0</v>
      </c>
      <c r="G90" s="10">
        <f t="shared" si="109"/>
        <v>0.33</v>
      </c>
      <c r="H90" s="10">
        <f t="shared" si="109"/>
        <v>0</v>
      </c>
      <c r="I90" s="10">
        <f t="shared" si="109"/>
        <v>0</v>
      </c>
      <c r="J90" s="10">
        <v>0.33479244000000002</v>
      </c>
      <c r="K90" s="10">
        <v>0</v>
      </c>
      <c r="L90" s="10">
        <v>0.33</v>
      </c>
      <c r="M90" s="10">
        <v>0</v>
      </c>
      <c r="N90" s="10">
        <v>0</v>
      </c>
      <c r="O90" s="10">
        <f t="shared" si="58"/>
        <v>0</v>
      </c>
      <c r="P90" s="10">
        <v>0</v>
      </c>
      <c r="Q90" s="10">
        <v>0</v>
      </c>
      <c r="R90" s="10">
        <v>0</v>
      </c>
      <c r="S90" s="10">
        <v>0</v>
      </c>
      <c r="T90" s="10">
        <f t="shared" si="83"/>
        <v>0</v>
      </c>
      <c r="U90" s="10">
        <v>0</v>
      </c>
      <c r="V90" s="10">
        <v>0</v>
      </c>
      <c r="W90" s="10">
        <v>0</v>
      </c>
      <c r="X90" s="10">
        <v>0</v>
      </c>
      <c r="Y90" s="17">
        <v>0</v>
      </c>
      <c r="Z90" s="10">
        <v>0</v>
      </c>
      <c r="AA90" s="10">
        <v>0</v>
      </c>
      <c r="AB90" s="10">
        <v>0</v>
      </c>
      <c r="AC90" s="10">
        <v>0</v>
      </c>
      <c r="AD90" s="19">
        <v>0.28000000000000003</v>
      </c>
      <c r="AE90" s="10">
        <f t="shared" si="90"/>
        <v>0.28000000000000003</v>
      </c>
      <c r="AF90" s="10">
        <f t="shared" si="91"/>
        <v>0</v>
      </c>
      <c r="AG90" s="10">
        <f t="shared" si="92"/>
        <v>0.28000000000000003</v>
      </c>
      <c r="AH90" s="10">
        <f t="shared" si="93"/>
        <v>0</v>
      </c>
      <c r="AI90" s="10">
        <f t="shared" si="94"/>
        <v>0</v>
      </c>
      <c r="AJ90" s="10">
        <f t="shared" si="84"/>
        <v>0.28000000000000003</v>
      </c>
      <c r="AK90" s="10">
        <v>0</v>
      </c>
      <c r="AL90" s="10">
        <v>0.28000000000000003</v>
      </c>
      <c r="AM90" s="10">
        <v>0</v>
      </c>
      <c r="AN90" s="10">
        <v>0</v>
      </c>
      <c r="AO90" s="10">
        <f t="shared" si="85"/>
        <v>0</v>
      </c>
      <c r="AP90" s="10">
        <v>0</v>
      </c>
      <c r="AQ90" s="10">
        <v>0</v>
      </c>
      <c r="AR90" s="10">
        <v>0</v>
      </c>
      <c r="AS90" s="10">
        <v>0</v>
      </c>
      <c r="AT90" s="10">
        <f t="shared" si="86"/>
        <v>0</v>
      </c>
      <c r="AU90" s="10">
        <v>0</v>
      </c>
      <c r="AV90" s="10">
        <v>0</v>
      </c>
      <c r="AW90" s="10">
        <v>0</v>
      </c>
      <c r="AX90" s="10">
        <v>0</v>
      </c>
      <c r="AY90" s="10">
        <v>0</v>
      </c>
      <c r="AZ90" s="10">
        <v>0</v>
      </c>
      <c r="BA90" s="10">
        <v>0</v>
      </c>
      <c r="BB90" s="10">
        <v>0</v>
      </c>
      <c r="BC90" s="10">
        <v>0</v>
      </c>
    </row>
    <row r="91" spans="1:55" ht="47.25" x14ac:dyDescent="0.25">
      <c r="A91" s="12" t="s">
        <v>411</v>
      </c>
      <c r="B91" s="40" t="s">
        <v>247</v>
      </c>
      <c r="C91" s="40" t="s">
        <v>248</v>
      </c>
      <c r="D91" s="19">
        <v>0.84</v>
      </c>
      <c r="E91" s="10">
        <f t="shared" si="109"/>
        <v>0.75536534399999988</v>
      </c>
      <c r="F91" s="10">
        <f t="shared" si="109"/>
        <v>2.5283999999999997E-2</v>
      </c>
      <c r="G91" s="10">
        <f t="shared" si="109"/>
        <v>0.73008119999999999</v>
      </c>
      <c r="H91" s="10">
        <f t="shared" si="109"/>
        <v>0</v>
      </c>
      <c r="I91" s="10">
        <f t="shared" si="109"/>
        <v>0</v>
      </c>
      <c r="J91" s="10">
        <v>0.75536534399999988</v>
      </c>
      <c r="K91" s="10">
        <f>0.02107*1.2</f>
        <v>2.5283999999999997E-2</v>
      </c>
      <c r="L91" s="10">
        <f>0.608401*1.2</f>
        <v>0.73008119999999999</v>
      </c>
      <c r="M91" s="10">
        <v>0</v>
      </c>
      <c r="N91" s="10">
        <v>0</v>
      </c>
      <c r="O91" s="10">
        <f t="shared" si="58"/>
        <v>0</v>
      </c>
      <c r="P91" s="10">
        <v>0</v>
      </c>
      <c r="Q91" s="10">
        <v>0</v>
      </c>
      <c r="R91" s="10">
        <v>0</v>
      </c>
      <c r="S91" s="10">
        <v>0</v>
      </c>
      <c r="T91" s="10">
        <f t="shared" si="83"/>
        <v>0</v>
      </c>
      <c r="U91" s="10">
        <v>0</v>
      </c>
      <c r="V91" s="10">
        <v>0</v>
      </c>
      <c r="W91" s="10">
        <v>0</v>
      </c>
      <c r="X91" s="10">
        <v>0</v>
      </c>
      <c r="Y91" s="17">
        <v>0</v>
      </c>
      <c r="Z91" s="10">
        <v>0</v>
      </c>
      <c r="AA91" s="10">
        <v>0</v>
      </c>
      <c r="AB91" s="10">
        <v>0</v>
      </c>
      <c r="AC91" s="10">
        <v>0</v>
      </c>
      <c r="AD91" s="19">
        <v>0.7</v>
      </c>
      <c r="AE91" s="10">
        <f t="shared" si="90"/>
        <v>0.62940000000000007</v>
      </c>
      <c r="AF91" s="10">
        <f t="shared" si="91"/>
        <v>2.1000000000000001E-2</v>
      </c>
      <c r="AG91" s="10">
        <f t="shared" si="92"/>
        <v>0.60840000000000005</v>
      </c>
      <c r="AH91" s="10">
        <f t="shared" si="93"/>
        <v>0</v>
      </c>
      <c r="AI91" s="10">
        <f t="shared" si="94"/>
        <v>0</v>
      </c>
      <c r="AJ91" s="10">
        <f t="shared" si="84"/>
        <v>0.62940000000000007</v>
      </c>
      <c r="AK91" s="10">
        <v>2.1000000000000001E-2</v>
      </c>
      <c r="AL91" s="10">
        <v>0.60840000000000005</v>
      </c>
      <c r="AM91" s="10">
        <v>0</v>
      </c>
      <c r="AN91" s="10">
        <v>0</v>
      </c>
      <c r="AO91" s="10">
        <f t="shared" si="85"/>
        <v>0</v>
      </c>
      <c r="AP91" s="10">
        <v>0</v>
      </c>
      <c r="AQ91" s="10">
        <v>0</v>
      </c>
      <c r="AR91" s="10">
        <v>0</v>
      </c>
      <c r="AS91" s="10">
        <v>0</v>
      </c>
      <c r="AT91" s="10">
        <f t="shared" si="86"/>
        <v>0</v>
      </c>
      <c r="AU91" s="10">
        <v>0</v>
      </c>
      <c r="AV91" s="10">
        <v>0</v>
      </c>
      <c r="AW91" s="10">
        <v>0</v>
      </c>
      <c r="AX91" s="10">
        <v>0</v>
      </c>
      <c r="AY91" s="10">
        <v>0</v>
      </c>
      <c r="AZ91" s="10">
        <v>0</v>
      </c>
      <c r="BA91" s="10">
        <v>0</v>
      </c>
      <c r="BB91" s="10">
        <v>0</v>
      </c>
      <c r="BC91" s="10">
        <v>0</v>
      </c>
    </row>
    <row r="92" spans="1:55" ht="47.25" x14ac:dyDescent="0.25">
      <c r="A92" s="12" t="s">
        <v>412</v>
      </c>
      <c r="B92" s="40" t="s">
        <v>249</v>
      </c>
      <c r="C92" s="40" t="s">
        <v>250</v>
      </c>
      <c r="D92" s="19">
        <v>0.7</v>
      </c>
      <c r="E92" s="10">
        <f t="shared" si="109"/>
        <v>1.0641073560000001</v>
      </c>
      <c r="F92" s="10">
        <f t="shared" si="109"/>
        <v>9.5999999999999992E-3</v>
      </c>
      <c r="G92" s="10">
        <f t="shared" si="109"/>
        <v>0.94</v>
      </c>
      <c r="H92" s="10">
        <f t="shared" si="109"/>
        <v>0</v>
      </c>
      <c r="I92" s="10">
        <f t="shared" si="109"/>
        <v>0.112668432</v>
      </c>
      <c r="J92" s="10">
        <v>0.95143892399999996</v>
      </c>
      <c r="K92" s="10">
        <f>0.008*1.2</f>
        <v>9.5999999999999992E-3</v>
      </c>
      <c r="L92" s="10">
        <v>0.94</v>
      </c>
      <c r="M92" s="10">
        <v>0</v>
      </c>
      <c r="N92" s="10">
        <v>0</v>
      </c>
      <c r="O92" s="10">
        <f t="shared" si="58"/>
        <v>0.112668432</v>
      </c>
      <c r="P92" s="10">
        <v>0</v>
      </c>
      <c r="Q92" s="10">
        <v>0</v>
      </c>
      <c r="R92" s="10">
        <v>0</v>
      </c>
      <c r="S92" s="10">
        <f>0.09389036*1.2</f>
        <v>0.112668432</v>
      </c>
      <c r="T92" s="10">
        <f t="shared" si="83"/>
        <v>0</v>
      </c>
      <c r="U92" s="10">
        <v>0</v>
      </c>
      <c r="V92" s="10">
        <v>0</v>
      </c>
      <c r="W92" s="10">
        <v>0</v>
      </c>
      <c r="X92" s="10">
        <v>0</v>
      </c>
      <c r="Y92" s="17">
        <v>0</v>
      </c>
      <c r="Z92" s="10">
        <v>0</v>
      </c>
      <c r="AA92" s="10">
        <v>0</v>
      </c>
      <c r="AB92" s="10">
        <v>0</v>
      </c>
      <c r="AC92" s="10">
        <v>0</v>
      </c>
      <c r="AD92" s="19">
        <v>0.57999999999999996</v>
      </c>
      <c r="AE92" s="10">
        <f t="shared" si="90"/>
        <v>0.88200000000000001</v>
      </c>
      <c r="AF92" s="10">
        <f t="shared" si="91"/>
        <v>8.0000000000000002E-3</v>
      </c>
      <c r="AG92" s="10">
        <f t="shared" si="92"/>
        <v>0.78</v>
      </c>
      <c r="AH92" s="10">
        <f t="shared" si="93"/>
        <v>0</v>
      </c>
      <c r="AI92" s="10">
        <f t="shared" si="94"/>
        <v>9.4E-2</v>
      </c>
      <c r="AJ92" s="10">
        <f t="shared" si="84"/>
        <v>0.78800000000000003</v>
      </c>
      <c r="AK92" s="10">
        <v>8.0000000000000002E-3</v>
      </c>
      <c r="AL92" s="10">
        <v>0.78</v>
      </c>
      <c r="AM92" s="10">
        <v>0</v>
      </c>
      <c r="AN92" s="10">
        <v>0</v>
      </c>
      <c r="AO92" s="10">
        <f t="shared" si="85"/>
        <v>9.4E-2</v>
      </c>
      <c r="AP92" s="10">
        <v>0</v>
      </c>
      <c r="AQ92" s="10">
        <v>0</v>
      </c>
      <c r="AR92" s="10">
        <v>0</v>
      </c>
      <c r="AS92" s="10">
        <v>9.4E-2</v>
      </c>
      <c r="AT92" s="10">
        <f t="shared" si="86"/>
        <v>0</v>
      </c>
      <c r="AU92" s="10">
        <v>0</v>
      </c>
      <c r="AV92" s="10">
        <v>0</v>
      </c>
      <c r="AW92" s="10">
        <v>0</v>
      </c>
      <c r="AX92" s="10">
        <v>0</v>
      </c>
      <c r="AY92" s="10">
        <v>0</v>
      </c>
      <c r="AZ92" s="10">
        <v>0</v>
      </c>
      <c r="BA92" s="10">
        <v>0</v>
      </c>
      <c r="BB92" s="10">
        <v>0</v>
      </c>
      <c r="BC92" s="10">
        <v>0</v>
      </c>
    </row>
    <row r="93" spans="1:55" ht="47.25" x14ac:dyDescent="0.25">
      <c r="A93" s="12" t="s">
        <v>413</v>
      </c>
      <c r="B93" s="37" t="s">
        <v>251</v>
      </c>
      <c r="C93" s="12" t="s">
        <v>252</v>
      </c>
      <c r="D93" s="19">
        <v>0.97</v>
      </c>
      <c r="E93" s="10">
        <f t="shared" si="109"/>
        <v>0.61789271999999995</v>
      </c>
      <c r="F93" s="10">
        <f t="shared" si="109"/>
        <v>0.11</v>
      </c>
      <c r="G93" s="10">
        <f t="shared" si="109"/>
        <v>0.50415672</v>
      </c>
      <c r="H93" s="10">
        <f t="shared" si="109"/>
        <v>0</v>
      </c>
      <c r="I93" s="10">
        <f t="shared" si="109"/>
        <v>0</v>
      </c>
      <c r="J93" s="10">
        <v>0.113736</v>
      </c>
      <c r="K93" s="10">
        <v>0.11</v>
      </c>
      <c r="L93" s="10">
        <v>0</v>
      </c>
      <c r="M93" s="10">
        <v>0</v>
      </c>
      <c r="N93" s="10">
        <v>0</v>
      </c>
      <c r="O93" s="10">
        <f t="shared" si="58"/>
        <v>0</v>
      </c>
      <c r="P93" s="10">
        <v>0</v>
      </c>
      <c r="Q93" s="10">
        <v>0</v>
      </c>
      <c r="R93" s="10">
        <v>0</v>
      </c>
      <c r="S93" s="10">
        <v>0</v>
      </c>
      <c r="T93" s="10">
        <f t="shared" si="83"/>
        <v>0.50415672</v>
      </c>
      <c r="U93" s="10">
        <v>0</v>
      </c>
      <c r="V93" s="10">
        <f>0.4201306*1.2</f>
        <v>0.50415672</v>
      </c>
      <c r="W93" s="10">
        <v>0</v>
      </c>
      <c r="X93" s="10">
        <v>0</v>
      </c>
      <c r="Y93" s="17">
        <v>0</v>
      </c>
      <c r="Z93" s="10">
        <v>0</v>
      </c>
      <c r="AA93" s="10">
        <v>0</v>
      </c>
      <c r="AB93" s="10">
        <v>0</v>
      </c>
      <c r="AC93" s="10">
        <v>0</v>
      </c>
      <c r="AD93" s="19">
        <v>0.8</v>
      </c>
      <c r="AE93" s="10">
        <f t="shared" si="90"/>
        <v>0.51013059999999999</v>
      </c>
      <c r="AF93" s="10">
        <f t="shared" si="91"/>
        <v>0.09</v>
      </c>
      <c r="AG93" s="10">
        <f t="shared" si="92"/>
        <v>0.42013060000000002</v>
      </c>
      <c r="AH93" s="10">
        <f t="shared" si="93"/>
        <v>0</v>
      </c>
      <c r="AI93" s="10">
        <f t="shared" si="94"/>
        <v>0</v>
      </c>
      <c r="AJ93" s="10">
        <f t="shared" si="84"/>
        <v>0.09</v>
      </c>
      <c r="AK93" s="10">
        <v>0.09</v>
      </c>
      <c r="AL93" s="10">
        <v>0</v>
      </c>
      <c r="AM93" s="10">
        <v>0</v>
      </c>
      <c r="AN93" s="10">
        <v>0</v>
      </c>
      <c r="AO93" s="10">
        <f t="shared" si="85"/>
        <v>0</v>
      </c>
      <c r="AP93" s="10">
        <v>0</v>
      </c>
      <c r="AQ93" s="10">
        <v>0</v>
      </c>
      <c r="AR93" s="10">
        <v>0</v>
      </c>
      <c r="AS93" s="10">
        <v>0</v>
      </c>
      <c r="AT93" s="10">
        <f t="shared" si="86"/>
        <v>0.42013060000000002</v>
      </c>
      <c r="AU93" s="10">
        <v>0</v>
      </c>
      <c r="AV93" s="10">
        <f>0.4201306</f>
        <v>0.42013060000000002</v>
      </c>
      <c r="AW93" s="10">
        <v>0</v>
      </c>
      <c r="AX93" s="10">
        <v>0</v>
      </c>
      <c r="AY93" s="10">
        <v>0</v>
      </c>
      <c r="AZ93" s="10">
        <v>0</v>
      </c>
      <c r="BA93" s="10">
        <v>0</v>
      </c>
      <c r="BB93" s="10">
        <v>0</v>
      </c>
      <c r="BC93" s="10">
        <v>0</v>
      </c>
    </row>
    <row r="94" spans="1:55" ht="47.25" x14ac:dyDescent="0.25">
      <c r="A94" s="12" t="s">
        <v>414</v>
      </c>
      <c r="B94" s="37" t="s">
        <v>253</v>
      </c>
      <c r="C94" s="40" t="s">
        <v>254</v>
      </c>
      <c r="D94" s="19">
        <v>0.98</v>
      </c>
      <c r="E94" s="10">
        <f t="shared" si="109"/>
        <v>0.61518037199999998</v>
      </c>
      <c r="F94" s="10">
        <f t="shared" si="109"/>
        <v>0</v>
      </c>
      <c r="G94" s="10">
        <f t="shared" si="109"/>
        <v>0.54</v>
      </c>
      <c r="H94" s="10">
        <f t="shared" si="109"/>
        <v>0</v>
      </c>
      <c r="I94" s="10">
        <f t="shared" si="109"/>
        <v>7.9064424000000008E-2</v>
      </c>
      <c r="J94" s="10">
        <v>0.53611594799999995</v>
      </c>
      <c r="K94" s="10">
        <v>0</v>
      </c>
      <c r="L94" s="10">
        <v>0.54</v>
      </c>
      <c r="M94" s="10">
        <v>0</v>
      </c>
      <c r="N94" s="10">
        <v>0</v>
      </c>
      <c r="O94" s="10">
        <f t="shared" si="58"/>
        <v>7.9064424000000008E-2</v>
      </c>
      <c r="P94" s="10">
        <v>0</v>
      </c>
      <c r="Q94" s="10">
        <v>0</v>
      </c>
      <c r="R94" s="10">
        <v>0</v>
      </c>
      <c r="S94" s="10">
        <f>0.06588702*1.2</f>
        <v>7.9064424000000008E-2</v>
      </c>
      <c r="T94" s="10">
        <f t="shared" si="83"/>
        <v>0</v>
      </c>
      <c r="U94" s="10">
        <v>0</v>
      </c>
      <c r="V94" s="10">
        <v>0</v>
      </c>
      <c r="W94" s="10">
        <v>0</v>
      </c>
      <c r="X94" s="10">
        <v>0</v>
      </c>
      <c r="Y94" s="17">
        <v>0</v>
      </c>
      <c r="Z94" s="10">
        <v>0</v>
      </c>
      <c r="AA94" s="10">
        <v>0</v>
      </c>
      <c r="AB94" s="10">
        <v>0</v>
      </c>
      <c r="AC94" s="10">
        <v>0</v>
      </c>
      <c r="AD94" s="19">
        <v>0.82</v>
      </c>
      <c r="AE94" s="10">
        <f t="shared" si="90"/>
        <v>0.51588701999999997</v>
      </c>
      <c r="AF94" s="10">
        <f t="shared" si="91"/>
        <v>0</v>
      </c>
      <c r="AG94" s="10">
        <f t="shared" si="92"/>
        <v>0.45</v>
      </c>
      <c r="AH94" s="10">
        <f t="shared" si="93"/>
        <v>0</v>
      </c>
      <c r="AI94" s="10">
        <f t="shared" si="94"/>
        <v>6.5887020000000004E-2</v>
      </c>
      <c r="AJ94" s="10">
        <f t="shared" si="84"/>
        <v>0.45</v>
      </c>
      <c r="AK94" s="10">
        <v>0</v>
      </c>
      <c r="AL94" s="10">
        <v>0.45</v>
      </c>
      <c r="AM94" s="10">
        <v>0</v>
      </c>
      <c r="AN94" s="10">
        <v>0</v>
      </c>
      <c r="AO94" s="10">
        <f t="shared" si="85"/>
        <v>6.5887020000000004E-2</v>
      </c>
      <c r="AP94" s="10">
        <v>0</v>
      </c>
      <c r="AQ94" s="10">
        <v>0</v>
      </c>
      <c r="AR94" s="10">
        <v>0</v>
      </c>
      <c r="AS94" s="10">
        <f>0.06588702</f>
        <v>6.5887020000000004E-2</v>
      </c>
      <c r="AT94" s="10">
        <f t="shared" si="86"/>
        <v>0</v>
      </c>
      <c r="AU94" s="10">
        <v>0</v>
      </c>
      <c r="AV94" s="10">
        <v>0</v>
      </c>
      <c r="AW94" s="10">
        <v>0</v>
      </c>
      <c r="AX94" s="10">
        <v>0</v>
      </c>
      <c r="AY94" s="10">
        <v>0</v>
      </c>
      <c r="AZ94" s="10">
        <v>0</v>
      </c>
      <c r="BA94" s="10">
        <v>0</v>
      </c>
      <c r="BB94" s="10">
        <v>0</v>
      </c>
      <c r="BC94" s="10">
        <v>0</v>
      </c>
    </row>
    <row r="95" spans="1:55" ht="63" x14ac:dyDescent="0.25">
      <c r="A95" s="12" t="s">
        <v>415</v>
      </c>
      <c r="B95" s="37" t="s">
        <v>255</v>
      </c>
      <c r="C95" s="40" t="s">
        <v>256</v>
      </c>
      <c r="D95" s="19">
        <v>0.63</v>
      </c>
      <c r="E95" s="10">
        <f t="shared" si="109"/>
        <v>0.42921462799999999</v>
      </c>
      <c r="F95" s="10">
        <f t="shared" si="109"/>
        <v>0.14000000000000001</v>
      </c>
      <c r="G95" s="10">
        <f t="shared" si="109"/>
        <v>0.28921462799999997</v>
      </c>
      <c r="H95" s="10">
        <f t="shared" si="109"/>
        <v>0</v>
      </c>
      <c r="I95" s="10">
        <f t="shared" si="109"/>
        <v>0</v>
      </c>
      <c r="J95" s="10">
        <v>0.14000000000000001</v>
      </c>
      <c r="K95" s="10">
        <v>0.14000000000000001</v>
      </c>
      <c r="L95" s="10">
        <v>0</v>
      </c>
      <c r="M95" s="10">
        <v>0</v>
      </c>
      <c r="N95" s="10">
        <v>0</v>
      </c>
      <c r="O95" s="10">
        <f t="shared" si="58"/>
        <v>0.28921462799999997</v>
      </c>
      <c r="P95" s="10">
        <v>0</v>
      </c>
      <c r="Q95" s="10">
        <f>0.24101219*1.2</f>
        <v>0.28921462799999997</v>
      </c>
      <c r="R95" s="10">
        <v>0</v>
      </c>
      <c r="S95" s="10">
        <v>0</v>
      </c>
      <c r="T95" s="10">
        <f t="shared" si="83"/>
        <v>0</v>
      </c>
      <c r="U95" s="10">
        <v>0</v>
      </c>
      <c r="V95" s="10">
        <v>0</v>
      </c>
      <c r="W95" s="10">
        <v>0</v>
      </c>
      <c r="X95" s="10">
        <v>0</v>
      </c>
      <c r="Y95" s="17">
        <v>0</v>
      </c>
      <c r="Z95" s="10">
        <v>0</v>
      </c>
      <c r="AA95" s="10">
        <v>0</v>
      </c>
      <c r="AB95" s="10">
        <v>0</v>
      </c>
      <c r="AC95" s="10">
        <v>0</v>
      </c>
      <c r="AD95" s="19">
        <v>0.53</v>
      </c>
      <c r="AE95" s="10">
        <f t="shared" si="90"/>
        <v>0.35699999999999998</v>
      </c>
      <c r="AF95" s="10">
        <f t="shared" si="91"/>
        <v>0.114</v>
      </c>
      <c r="AG95" s="10">
        <f t="shared" si="92"/>
        <v>0.24299999999999999</v>
      </c>
      <c r="AH95" s="10">
        <f t="shared" si="93"/>
        <v>0</v>
      </c>
      <c r="AI95" s="10">
        <f t="shared" si="94"/>
        <v>0</v>
      </c>
      <c r="AJ95" s="10">
        <f t="shared" si="84"/>
        <v>0.114</v>
      </c>
      <c r="AK95" s="10">
        <v>0.114</v>
      </c>
      <c r="AL95" s="10">
        <v>0</v>
      </c>
      <c r="AM95" s="10">
        <v>0</v>
      </c>
      <c r="AN95" s="10">
        <v>0</v>
      </c>
      <c r="AO95" s="10">
        <f t="shared" si="85"/>
        <v>0.24299999999999999</v>
      </c>
      <c r="AP95" s="10">
        <v>0</v>
      </c>
      <c r="AQ95" s="10">
        <v>0.24299999999999999</v>
      </c>
      <c r="AR95" s="10">
        <v>0</v>
      </c>
      <c r="AS95" s="10">
        <v>0</v>
      </c>
      <c r="AT95" s="10">
        <f t="shared" si="86"/>
        <v>0</v>
      </c>
      <c r="AU95" s="10">
        <v>0</v>
      </c>
      <c r="AV95" s="10">
        <v>0</v>
      </c>
      <c r="AW95" s="10">
        <v>0</v>
      </c>
      <c r="AX95" s="10">
        <v>0</v>
      </c>
      <c r="AY95" s="10">
        <v>0</v>
      </c>
      <c r="AZ95" s="10">
        <v>0</v>
      </c>
      <c r="BA95" s="10">
        <v>0</v>
      </c>
      <c r="BB95" s="10">
        <v>0</v>
      </c>
      <c r="BC95" s="10">
        <v>0</v>
      </c>
    </row>
    <row r="96" spans="1:55" ht="78.75" x14ac:dyDescent="0.25">
      <c r="A96" s="12" t="s">
        <v>416</v>
      </c>
      <c r="B96" s="40" t="s">
        <v>257</v>
      </c>
      <c r="C96" s="12" t="s">
        <v>258</v>
      </c>
      <c r="D96" s="19">
        <v>0.61</v>
      </c>
      <c r="E96" s="10">
        <f t="shared" si="109"/>
        <v>0.398588004</v>
      </c>
      <c r="F96" s="10">
        <f t="shared" si="109"/>
        <v>0.27400000000000002</v>
      </c>
      <c r="G96" s="10">
        <f t="shared" si="109"/>
        <v>0.12858800399999998</v>
      </c>
      <c r="H96" s="10">
        <f t="shared" si="109"/>
        <v>0</v>
      </c>
      <c r="I96" s="10">
        <f t="shared" si="109"/>
        <v>0</v>
      </c>
      <c r="J96" s="10">
        <v>0.27</v>
      </c>
      <c r="K96" s="10">
        <v>0.27400000000000002</v>
      </c>
      <c r="L96" s="10">
        <v>0</v>
      </c>
      <c r="M96" s="10">
        <v>0</v>
      </c>
      <c r="N96" s="10">
        <v>0</v>
      </c>
      <c r="O96" s="10">
        <f t="shared" si="58"/>
        <v>0.12858800399999998</v>
      </c>
      <c r="P96" s="10">
        <v>0</v>
      </c>
      <c r="Q96" s="10">
        <f>0.10715667*1.2</f>
        <v>0.12858800399999998</v>
      </c>
      <c r="R96" s="10">
        <v>0</v>
      </c>
      <c r="S96" s="10">
        <v>0</v>
      </c>
      <c r="T96" s="10">
        <f t="shared" si="83"/>
        <v>0</v>
      </c>
      <c r="U96" s="10">
        <v>0</v>
      </c>
      <c r="V96" s="10">
        <v>0</v>
      </c>
      <c r="W96" s="10">
        <v>0</v>
      </c>
      <c r="X96" s="10">
        <v>0</v>
      </c>
      <c r="Y96" s="17">
        <v>0</v>
      </c>
      <c r="Z96" s="10">
        <v>0</v>
      </c>
      <c r="AA96" s="10">
        <v>0</v>
      </c>
      <c r="AB96" s="10">
        <v>0</v>
      </c>
      <c r="AC96" s="10">
        <v>0</v>
      </c>
      <c r="AD96" s="19">
        <v>0.51</v>
      </c>
      <c r="AE96" s="10">
        <f t="shared" si="90"/>
        <v>0.3319781</v>
      </c>
      <c r="AF96" s="10">
        <f t="shared" si="91"/>
        <v>0.22482142999999999</v>
      </c>
      <c r="AG96" s="10">
        <f t="shared" si="92"/>
        <v>0.10715667</v>
      </c>
      <c r="AH96" s="10">
        <f t="shared" si="93"/>
        <v>0</v>
      </c>
      <c r="AI96" s="10">
        <f t="shared" si="94"/>
        <v>0</v>
      </c>
      <c r="AJ96" s="10">
        <f t="shared" si="84"/>
        <v>0.22482142999999999</v>
      </c>
      <c r="AK96" s="10">
        <v>0.22482142999999999</v>
      </c>
      <c r="AL96" s="10">
        <v>0</v>
      </c>
      <c r="AM96" s="10">
        <v>0</v>
      </c>
      <c r="AN96" s="10">
        <v>0</v>
      </c>
      <c r="AO96" s="10">
        <f t="shared" si="85"/>
        <v>0.10715667</v>
      </c>
      <c r="AP96" s="10">
        <v>0</v>
      </c>
      <c r="AQ96" s="10">
        <v>0.10715667</v>
      </c>
      <c r="AR96" s="10">
        <v>0</v>
      </c>
      <c r="AS96" s="10">
        <v>0</v>
      </c>
      <c r="AT96" s="10">
        <f t="shared" si="86"/>
        <v>0</v>
      </c>
      <c r="AU96" s="10">
        <v>0</v>
      </c>
      <c r="AV96" s="10">
        <v>0</v>
      </c>
      <c r="AW96" s="10">
        <v>0</v>
      </c>
      <c r="AX96" s="10">
        <v>0</v>
      </c>
      <c r="AY96" s="10">
        <v>0</v>
      </c>
      <c r="AZ96" s="10">
        <v>0</v>
      </c>
      <c r="BA96" s="10">
        <v>0</v>
      </c>
      <c r="BB96" s="10">
        <v>0</v>
      </c>
      <c r="BC96" s="10">
        <v>0</v>
      </c>
    </row>
    <row r="97" spans="1:55" ht="31.5" x14ac:dyDescent="0.25">
      <c r="A97" s="12" t="s">
        <v>417</v>
      </c>
      <c r="B97" s="37" t="s">
        <v>190</v>
      </c>
      <c r="C97" s="12" t="s">
        <v>191</v>
      </c>
      <c r="D97" s="19">
        <v>3.4000000000000004</v>
      </c>
      <c r="E97" s="10">
        <f t="shared" si="109"/>
        <v>3.3388609640000002</v>
      </c>
      <c r="F97" s="10">
        <f t="shared" si="109"/>
        <v>0</v>
      </c>
      <c r="G97" s="10">
        <f t="shared" si="109"/>
        <v>3.2277892159999997</v>
      </c>
      <c r="H97" s="10">
        <f t="shared" si="109"/>
        <v>0</v>
      </c>
      <c r="I97" s="10">
        <f t="shared" si="109"/>
        <v>0.111071748</v>
      </c>
      <c r="J97" s="10">
        <v>1.1599999999999999</v>
      </c>
      <c r="K97" s="10">
        <v>0</v>
      </c>
      <c r="L97" s="10">
        <v>1.1599999999999999</v>
      </c>
      <c r="M97" s="10">
        <v>0</v>
      </c>
      <c r="N97" s="10">
        <v>0</v>
      </c>
      <c r="O97" s="10">
        <f>SUM(P97:S97)</f>
        <v>0</v>
      </c>
      <c r="P97" s="10">
        <v>0</v>
      </c>
      <c r="Q97" s="10">
        <v>0</v>
      </c>
      <c r="R97" s="10">
        <v>0</v>
      </c>
      <c r="S97" s="10">
        <v>0</v>
      </c>
      <c r="T97" s="10">
        <f t="shared" si="83"/>
        <v>2.1788609640000001</v>
      </c>
      <c r="U97" s="10">
        <v>0</v>
      </c>
      <c r="V97" s="10">
        <f>1.72315768*1.2</f>
        <v>2.067789216</v>
      </c>
      <c r="W97" s="10">
        <v>0</v>
      </c>
      <c r="X97" s="10">
        <f>0.09255979*1.2</f>
        <v>0.111071748</v>
      </c>
      <c r="Y97" s="17">
        <v>0</v>
      </c>
      <c r="Z97" s="10">
        <v>0</v>
      </c>
      <c r="AA97" s="10">
        <v>0</v>
      </c>
      <c r="AB97" s="10">
        <v>0</v>
      </c>
      <c r="AC97" s="10">
        <v>0</v>
      </c>
      <c r="AD97" s="19">
        <v>2.83</v>
      </c>
      <c r="AE97" s="10">
        <f t="shared" si="90"/>
        <v>2.78295263</v>
      </c>
      <c r="AF97" s="10">
        <f t="shared" si="91"/>
        <v>0</v>
      </c>
      <c r="AG97" s="10">
        <f t="shared" si="92"/>
        <v>2.6883928400000001</v>
      </c>
      <c r="AH97" s="10">
        <f t="shared" si="93"/>
        <v>0</v>
      </c>
      <c r="AI97" s="10">
        <f t="shared" si="94"/>
        <v>9.4559790000000005E-2</v>
      </c>
      <c r="AJ97" s="10">
        <f t="shared" si="84"/>
        <v>0</v>
      </c>
      <c r="AK97" s="10">
        <v>0</v>
      </c>
      <c r="AL97" s="10">
        <v>0</v>
      </c>
      <c r="AM97" s="10">
        <v>0</v>
      </c>
      <c r="AN97" s="10">
        <v>0</v>
      </c>
      <c r="AO97" s="10">
        <f t="shared" si="85"/>
        <v>0</v>
      </c>
      <c r="AP97" s="10">
        <v>0</v>
      </c>
      <c r="AQ97" s="10">
        <v>0</v>
      </c>
      <c r="AR97" s="10">
        <v>0</v>
      </c>
      <c r="AS97" s="10">
        <v>0</v>
      </c>
      <c r="AT97" s="10">
        <f t="shared" si="86"/>
        <v>2.78295263</v>
      </c>
      <c r="AU97" s="10">
        <v>0</v>
      </c>
      <c r="AV97" s="10">
        <v>2.6883928400000001</v>
      </c>
      <c r="AW97" s="10">
        <v>0</v>
      </c>
      <c r="AX97" s="10">
        <v>9.4559790000000005E-2</v>
      </c>
      <c r="AY97" s="10">
        <v>0</v>
      </c>
      <c r="AZ97" s="10">
        <v>0</v>
      </c>
      <c r="BA97" s="10">
        <v>0</v>
      </c>
      <c r="BB97" s="10">
        <v>0</v>
      </c>
      <c r="BC97" s="10">
        <v>0</v>
      </c>
    </row>
    <row r="98" spans="1:55" s="14" customFormat="1" ht="31.5" x14ac:dyDescent="0.25">
      <c r="A98" s="12" t="s">
        <v>131</v>
      </c>
      <c r="B98" s="48" t="s">
        <v>132</v>
      </c>
      <c r="C98" s="40" t="s">
        <v>77</v>
      </c>
      <c r="D98" s="10">
        <f>D99+D102</f>
        <v>10.160000000000002</v>
      </c>
      <c r="E98" s="10">
        <f t="shared" ref="E98:BC98" si="110">E99+E102</f>
        <v>10.208608</v>
      </c>
      <c r="F98" s="10">
        <f t="shared" si="110"/>
        <v>0</v>
      </c>
      <c r="G98" s="10">
        <f t="shared" si="110"/>
        <v>8.32</v>
      </c>
      <c r="H98" s="10">
        <f t="shared" si="110"/>
        <v>0</v>
      </c>
      <c r="I98" s="10">
        <f t="shared" si="110"/>
        <v>1.8936080000000002</v>
      </c>
      <c r="J98" s="10">
        <f t="shared" si="110"/>
        <v>8.3149999999999995</v>
      </c>
      <c r="K98" s="10">
        <f t="shared" si="110"/>
        <v>0</v>
      </c>
      <c r="L98" s="10">
        <f t="shared" si="110"/>
        <v>8.32</v>
      </c>
      <c r="M98" s="10">
        <f t="shared" si="110"/>
        <v>0</v>
      </c>
      <c r="N98" s="10">
        <f t="shared" si="110"/>
        <v>0</v>
      </c>
      <c r="O98" s="10">
        <f t="shared" si="110"/>
        <v>0</v>
      </c>
      <c r="P98" s="10">
        <f t="shared" si="110"/>
        <v>0</v>
      </c>
      <c r="Q98" s="10">
        <f t="shared" si="110"/>
        <v>0</v>
      </c>
      <c r="R98" s="10">
        <f t="shared" si="110"/>
        <v>0</v>
      </c>
      <c r="S98" s="10">
        <f t="shared" si="110"/>
        <v>0</v>
      </c>
      <c r="T98" s="10">
        <f t="shared" si="110"/>
        <v>4.3607999999999994E-2</v>
      </c>
      <c r="U98" s="10">
        <f t="shared" si="110"/>
        <v>0</v>
      </c>
      <c r="V98" s="10">
        <f t="shared" si="110"/>
        <v>0</v>
      </c>
      <c r="W98" s="10">
        <f t="shared" si="110"/>
        <v>0</v>
      </c>
      <c r="X98" s="10">
        <f t="shared" si="110"/>
        <v>4.3607999999999994E-2</v>
      </c>
      <c r="Y98" s="10">
        <f t="shared" si="110"/>
        <v>1.85</v>
      </c>
      <c r="Z98" s="10">
        <f t="shared" si="110"/>
        <v>0</v>
      </c>
      <c r="AA98" s="10">
        <f t="shared" si="110"/>
        <v>0</v>
      </c>
      <c r="AB98" s="10">
        <f t="shared" si="110"/>
        <v>0</v>
      </c>
      <c r="AC98" s="10">
        <f t="shared" si="110"/>
        <v>1.85</v>
      </c>
      <c r="AD98" s="10">
        <f t="shared" si="110"/>
        <v>8.468</v>
      </c>
      <c r="AE98" s="10">
        <f t="shared" si="110"/>
        <v>8.5067051199999995</v>
      </c>
      <c r="AF98" s="10">
        <f t="shared" si="110"/>
        <v>0</v>
      </c>
      <c r="AG98" s="10">
        <f t="shared" si="110"/>
        <v>6.9303651200000003</v>
      </c>
      <c r="AH98" s="10">
        <f t="shared" si="110"/>
        <v>0</v>
      </c>
      <c r="AI98" s="10">
        <f t="shared" si="110"/>
        <v>1.5763400000000001</v>
      </c>
      <c r="AJ98" s="10">
        <f t="shared" si="110"/>
        <v>6.9303651200000003</v>
      </c>
      <c r="AK98" s="10">
        <f t="shared" si="110"/>
        <v>0</v>
      </c>
      <c r="AL98" s="10">
        <f t="shared" si="110"/>
        <v>6.9303651200000003</v>
      </c>
      <c r="AM98" s="10">
        <f t="shared" si="110"/>
        <v>0</v>
      </c>
      <c r="AN98" s="10">
        <f t="shared" si="110"/>
        <v>0</v>
      </c>
      <c r="AO98" s="10">
        <f t="shared" si="110"/>
        <v>0</v>
      </c>
      <c r="AP98" s="10">
        <f t="shared" si="110"/>
        <v>0</v>
      </c>
      <c r="AQ98" s="10">
        <f t="shared" si="110"/>
        <v>0</v>
      </c>
      <c r="AR98" s="10">
        <f t="shared" si="110"/>
        <v>0</v>
      </c>
      <c r="AS98" s="10">
        <f t="shared" si="110"/>
        <v>0</v>
      </c>
      <c r="AT98" s="10">
        <f t="shared" si="110"/>
        <v>0</v>
      </c>
      <c r="AU98" s="10">
        <f t="shared" si="110"/>
        <v>0</v>
      </c>
      <c r="AV98" s="10">
        <f t="shared" si="110"/>
        <v>0</v>
      </c>
      <c r="AW98" s="10">
        <f t="shared" si="110"/>
        <v>0</v>
      </c>
      <c r="AX98" s="10">
        <f t="shared" si="110"/>
        <v>3.6339999999999997E-2</v>
      </c>
      <c r="AY98" s="10">
        <f t="shared" si="110"/>
        <v>1.5423244899999999</v>
      </c>
      <c r="AZ98" s="10">
        <f t="shared" si="110"/>
        <v>0</v>
      </c>
      <c r="BA98" s="10">
        <f t="shared" si="110"/>
        <v>0</v>
      </c>
      <c r="BB98" s="10">
        <f t="shared" si="110"/>
        <v>0</v>
      </c>
      <c r="BC98" s="10">
        <f t="shared" si="110"/>
        <v>1.54</v>
      </c>
    </row>
    <row r="99" spans="1:55" s="14" customFormat="1" ht="31.5" x14ac:dyDescent="0.25">
      <c r="A99" s="12" t="s">
        <v>133</v>
      </c>
      <c r="B99" s="70" t="s">
        <v>134</v>
      </c>
      <c r="C99" s="40" t="s">
        <v>77</v>
      </c>
      <c r="D99" s="10">
        <f>D100+D101</f>
        <v>9.5100000000000016</v>
      </c>
      <c r="E99" s="10">
        <f t="shared" ref="E99:BC99" si="111">SUM(E100:E101)</f>
        <v>10.208608</v>
      </c>
      <c r="F99" s="10">
        <f t="shared" si="111"/>
        <v>0</v>
      </c>
      <c r="G99" s="10">
        <f t="shared" si="111"/>
        <v>8.32</v>
      </c>
      <c r="H99" s="10">
        <f t="shared" si="111"/>
        <v>0</v>
      </c>
      <c r="I99" s="10">
        <f t="shared" si="111"/>
        <v>1.8936080000000002</v>
      </c>
      <c r="J99" s="10">
        <f t="shared" si="111"/>
        <v>8.3149999999999995</v>
      </c>
      <c r="K99" s="10">
        <f t="shared" si="111"/>
        <v>0</v>
      </c>
      <c r="L99" s="10">
        <f t="shared" si="111"/>
        <v>8.32</v>
      </c>
      <c r="M99" s="10">
        <f t="shared" si="111"/>
        <v>0</v>
      </c>
      <c r="N99" s="10">
        <f t="shared" si="111"/>
        <v>0</v>
      </c>
      <c r="O99" s="10">
        <f t="shared" si="111"/>
        <v>0</v>
      </c>
      <c r="P99" s="10">
        <f t="shared" si="111"/>
        <v>0</v>
      </c>
      <c r="Q99" s="10">
        <f t="shared" si="111"/>
        <v>0</v>
      </c>
      <c r="R99" s="10">
        <f t="shared" si="111"/>
        <v>0</v>
      </c>
      <c r="S99" s="10">
        <f t="shared" si="111"/>
        <v>0</v>
      </c>
      <c r="T99" s="10">
        <f t="shared" si="111"/>
        <v>4.3607999999999994E-2</v>
      </c>
      <c r="U99" s="10">
        <f t="shared" si="111"/>
        <v>0</v>
      </c>
      <c r="V99" s="10">
        <f t="shared" si="111"/>
        <v>0</v>
      </c>
      <c r="W99" s="10">
        <f t="shared" si="111"/>
        <v>0</v>
      </c>
      <c r="X99" s="10">
        <f t="shared" si="111"/>
        <v>4.3607999999999994E-2</v>
      </c>
      <c r="Y99" s="10">
        <f t="shared" si="111"/>
        <v>1.85</v>
      </c>
      <c r="Z99" s="10">
        <f t="shared" si="111"/>
        <v>0</v>
      </c>
      <c r="AA99" s="10">
        <f t="shared" si="111"/>
        <v>0</v>
      </c>
      <c r="AB99" s="10">
        <f t="shared" si="111"/>
        <v>0</v>
      </c>
      <c r="AC99" s="10">
        <f t="shared" si="111"/>
        <v>1.85</v>
      </c>
      <c r="AD99" s="10">
        <f t="shared" si="111"/>
        <v>7.9279999999999999</v>
      </c>
      <c r="AE99" s="10">
        <f t="shared" si="111"/>
        <v>8.5067051199999995</v>
      </c>
      <c r="AF99" s="10">
        <f t="shared" si="111"/>
        <v>0</v>
      </c>
      <c r="AG99" s="10">
        <f t="shared" si="111"/>
        <v>6.9303651200000003</v>
      </c>
      <c r="AH99" s="10">
        <f t="shared" si="111"/>
        <v>0</v>
      </c>
      <c r="AI99" s="10">
        <f t="shared" si="111"/>
        <v>1.5763400000000001</v>
      </c>
      <c r="AJ99" s="10">
        <f t="shared" si="111"/>
        <v>6.9303651200000003</v>
      </c>
      <c r="AK99" s="10">
        <f t="shared" si="111"/>
        <v>0</v>
      </c>
      <c r="AL99" s="10">
        <f t="shared" si="111"/>
        <v>6.9303651200000003</v>
      </c>
      <c r="AM99" s="10">
        <f t="shared" si="111"/>
        <v>0</v>
      </c>
      <c r="AN99" s="10">
        <f t="shared" si="111"/>
        <v>0</v>
      </c>
      <c r="AO99" s="10">
        <f t="shared" si="111"/>
        <v>0</v>
      </c>
      <c r="AP99" s="10">
        <f t="shared" si="111"/>
        <v>0</v>
      </c>
      <c r="AQ99" s="10">
        <f t="shared" si="111"/>
        <v>0</v>
      </c>
      <c r="AR99" s="10">
        <f t="shared" si="111"/>
        <v>0</v>
      </c>
      <c r="AS99" s="10">
        <f t="shared" si="111"/>
        <v>0</v>
      </c>
      <c r="AT99" s="10">
        <f t="shared" si="111"/>
        <v>0</v>
      </c>
      <c r="AU99" s="10">
        <f t="shared" si="111"/>
        <v>0</v>
      </c>
      <c r="AV99" s="10">
        <f t="shared" si="111"/>
        <v>0</v>
      </c>
      <c r="AW99" s="10">
        <f t="shared" si="111"/>
        <v>0</v>
      </c>
      <c r="AX99" s="10">
        <f t="shared" si="111"/>
        <v>3.6339999999999997E-2</v>
      </c>
      <c r="AY99" s="10">
        <f t="shared" si="111"/>
        <v>1.5423244899999999</v>
      </c>
      <c r="AZ99" s="10">
        <f t="shared" si="111"/>
        <v>0</v>
      </c>
      <c r="BA99" s="10">
        <f t="shared" si="111"/>
        <v>0</v>
      </c>
      <c r="BB99" s="10">
        <f t="shared" si="111"/>
        <v>0</v>
      </c>
      <c r="BC99" s="10">
        <f t="shared" si="111"/>
        <v>1.54</v>
      </c>
    </row>
    <row r="100" spans="1:55" s="14" customFormat="1" ht="47.25" x14ac:dyDescent="0.25">
      <c r="A100" s="12" t="s">
        <v>135</v>
      </c>
      <c r="B100" s="53" t="s">
        <v>182</v>
      </c>
      <c r="C100" s="42" t="s">
        <v>183</v>
      </c>
      <c r="D100" s="10">
        <v>1.21</v>
      </c>
      <c r="E100" s="10">
        <f t="shared" ref="E100:H101" si="112">J100+O100+T100+Y100</f>
        <v>1.8936080000000002</v>
      </c>
      <c r="F100" s="10">
        <f t="shared" si="112"/>
        <v>0</v>
      </c>
      <c r="G100" s="10">
        <f t="shared" si="112"/>
        <v>0</v>
      </c>
      <c r="H100" s="10">
        <f t="shared" si="112"/>
        <v>0</v>
      </c>
      <c r="I100" s="10">
        <f>N100+S100+X100+AC100</f>
        <v>1.8936080000000002</v>
      </c>
      <c r="J100" s="10">
        <v>0</v>
      </c>
      <c r="K100" s="10">
        <v>0</v>
      </c>
      <c r="L100" s="10">
        <v>0</v>
      </c>
      <c r="M100" s="10">
        <v>0</v>
      </c>
      <c r="N100" s="10">
        <v>0</v>
      </c>
      <c r="O100" s="10">
        <f>SUM(P100:S100)</f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f>SUM(U100:X100)</f>
        <v>4.3607999999999994E-2</v>
      </c>
      <c r="U100" s="10">
        <v>0</v>
      </c>
      <c r="V100" s="10">
        <v>0</v>
      </c>
      <c r="W100" s="10">
        <v>0</v>
      </c>
      <c r="X100" s="10">
        <f>0.03634*1.2</f>
        <v>4.3607999999999994E-2</v>
      </c>
      <c r="Y100" s="10">
        <f>SUM(Z100:AC100)</f>
        <v>1.85</v>
      </c>
      <c r="Z100" s="10">
        <v>0</v>
      </c>
      <c r="AA100" s="10">
        <v>0</v>
      </c>
      <c r="AB100" s="10">
        <v>0</v>
      </c>
      <c r="AC100" s="17">
        <v>1.85</v>
      </c>
      <c r="AD100" s="10">
        <v>1.008</v>
      </c>
      <c r="AE100" s="10">
        <f>SUM(AF100:AI100)</f>
        <v>1.5763400000000001</v>
      </c>
      <c r="AF100" s="10">
        <f t="shared" ref="AF100:AI101" si="113">AK100+AP100+AU100+AZ100</f>
        <v>0</v>
      </c>
      <c r="AG100" s="10">
        <f t="shared" si="113"/>
        <v>0</v>
      </c>
      <c r="AH100" s="10">
        <f t="shared" si="113"/>
        <v>0</v>
      </c>
      <c r="AI100" s="10">
        <f t="shared" si="113"/>
        <v>1.5763400000000001</v>
      </c>
      <c r="AJ100" s="10">
        <f>SUM(AK100:AN100)</f>
        <v>0</v>
      </c>
      <c r="AK100" s="10">
        <v>0</v>
      </c>
      <c r="AL100" s="10">
        <v>0</v>
      </c>
      <c r="AM100" s="10">
        <v>0</v>
      </c>
      <c r="AN100" s="10">
        <v>0</v>
      </c>
      <c r="AO100" s="10">
        <v>0</v>
      </c>
      <c r="AP100" s="10">
        <v>0</v>
      </c>
      <c r="AQ100" s="10">
        <v>0</v>
      </c>
      <c r="AR100" s="10">
        <v>0</v>
      </c>
      <c r="AS100" s="10">
        <v>0</v>
      </c>
      <c r="AT100" s="10">
        <v>0</v>
      </c>
      <c r="AU100" s="10">
        <v>0</v>
      </c>
      <c r="AV100" s="10">
        <v>0</v>
      </c>
      <c r="AW100" s="10">
        <v>0</v>
      </c>
      <c r="AX100" s="10">
        <v>3.6339999999999997E-2</v>
      </c>
      <c r="AY100" s="10">
        <v>1.5423244899999999</v>
      </c>
      <c r="AZ100" s="10">
        <v>0</v>
      </c>
      <c r="BA100" s="10">
        <v>0</v>
      </c>
      <c r="BB100" s="10">
        <v>0</v>
      </c>
      <c r="BC100" s="10">
        <v>1.54</v>
      </c>
    </row>
    <row r="101" spans="1:55" ht="31.5" x14ac:dyDescent="0.25">
      <c r="A101" s="12" t="s">
        <v>184</v>
      </c>
      <c r="B101" s="40" t="s">
        <v>136</v>
      </c>
      <c r="C101" s="42" t="s">
        <v>137</v>
      </c>
      <c r="D101" s="19">
        <v>8.3000000000000007</v>
      </c>
      <c r="E101" s="10">
        <f t="shared" si="112"/>
        <v>8.3149999999999995</v>
      </c>
      <c r="F101" s="10">
        <f t="shared" si="112"/>
        <v>0</v>
      </c>
      <c r="G101" s="10">
        <f t="shared" si="112"/>
        <v>8.32</v>
      </c>
      <c r="H101" s="10">
        <f t="shared" si="112"/>
        <v>0</v>
      </c>
      <c r="I101" s="10">
        <f>N101+S101+X101+AC101</f>
        <v>0</v>
      </c>
      <c r="J101" s="10">
        <v>8.3149999999999995</v>
      </c>
      <c r="K101" s="10">
        <v>0</v>
      </c>
      <c r="L101" s="10">
        <v>8.32</v>
      </c>
      <c r="M101" s="10">
        <v>0</v>
      </c>
      <c r="N101" s="10">
        <v>0</v>
      </c>
      <c r="O101" s="10">
        <f>SUM(P101:S101)</f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f>SUM(U101:X101)</f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f>SUM(Z101:AC101)</f>
        <v>0</v>
      </c>
      <c r="Z101" s="10">
        <v>0</v>
      </c>
      <c r="AA101" s="10">
        <v>0</v>
      </c>
      <c r="AB101" s="10">
        <v>0</v>
      </c>
      <c r="AC101" s="10">
        <v>0</v>
      </c>
      <c r="AD101" s="19">
        <v>6.92</v>
      </c>
      <c r="AE101" s="10">
        <f>SUM(AF101:AI101)</f>
        <v>6.9303651200000003</v>
      </c>
      <c r="AF101" s="10">
        <f t="shared" si="113"/>
        <v>0</v>
      </c>
      <c r="AG101" s="10">
        <f t="shared" si="113"/>
        <v>6.9303651200000003</v>
      </c>
      <c r="AH101" s="10">
        <f t="shared" si="113"/>
        <v>0</v>
      </c>
      <c r="AI101" s="10">
        <f t="shared" si="113"/>
        <v>0</v>
      </c>
      <c r="AJ101" s="10">
        <f>SUM(AK101:AN101)</f>
        <v>6.9303651200000003</v>
      </c>
      <c r="AK101" s="10">
        <v>0</v>
      </c>
      <c r="AL101" s="10">
        <v>6.9303651200000003</v>
      </c>
      <c r="AM101" s="10">
        <v>0</v>
      </c>
      <c r="AN101" s="10">
        <v>0</v>
      </c>
      <c r="AO101" s="10">
        <f>SUM(AP101:AS101)</f>
        <v>0</v>
      </c>
      <c r="AP101" s="10">
        <v>0</v>
      </c>
      <c r="AQ101" s="10">
        <v>0</v>
      </c>
      <c r="AR101" s="10">
        <v>0</v>
      </c>
      <c r="AS101" s="10">
        <v>0</v>
      </c>
      <c r="AT101" s="10">
        <f>SUM(AU101:AX101)</f>
        <v>0</v>
      </c>
      <c r="AU101" s="10">
        <v>0</v>
      </c>
      <c r="AV101" s="10">
        <v>0</v>
      </c>
      <c r="AW101" s="10">
        <v>0</v>
      </c>
      <c r="AX101" s="10">
        <v>0</v>
      </c>
      <c r="AY101" s="10">
        <f>SUM(BA101:BC101)</f>
        <v>0</v>
      </c>
      <c r="AZ101" s="10">
        <v>0</v>
      </c>
      <c r="BA101" s="10">
        <v>0</v>
      </c>
      <c r="BB101" s="10">
        <v>0</v>
      </c>
      <c r="BC101" s="10">
        <v>0</v>
      </c>
    </row>
    <row r="102" spans="1:55" ht="31.5" x14ac:dyDescent="0.25">
      <c r="A102" s="12" t="s">
        <v>138</v>
      </c>
      <c r="B102" s="70" t="s">
        <v>139</v>
      </c>
      <c r="C102" s="40" t="s">
        <v>77</v>
      </c>
      <c r="D102" s="16">
        <f>D103</f>
        <v>0.65</v>
      </c>
      <c r="E102" s="16">
        <f t="shared" ref="E102:AC102" si="114">SUM(E103)</f>
        <v>0</v>
      </c>
      <c r="F102" s="16">
        <f t="shared" si="114"/>
        <v>0</v>
      </c>
      <c r="G102" s="16">
        <f t="shared" si="114"/>
        <v>0</v>
      </c>
      <c r="H102" s="16">
        <f t="shared" si="114"/>
        <v>0</v>
      </c>
      <c r="I102" s="16">
        <f t="shared" si="114"/>
        <v>0</v>
      </c>
      <c r="J102" s="16">
        <f t="shared" si="114"/>
        <v>0</v>
      </c>
      <c r="K102" s="16">
        <f t="shared" si="114"/>
        <v>0</v>
      </c>
      <c r="L102" s="16">
        <f t="shared" si="114"/>
        <v>0</v>
      </c>
      <c r="M102" s="16">
        <f t="shared" si="114"/>
        <v>0</v>
      </c>
      <c r="N102" s="16">
        <f t="shared" si="114"/>
        <v>0</v>
      </c>
      <c r="O102" s="16">
        <f t="shared" si="114"/>
        <v>0</v>
      </c>
      <c r="P102" s="16">
        <f t="shared" si="114"/>
        <v>0</v>
      </c>
      <c r="Q102" s="16">
        <f t="shared" si="114"/>
        <v>0</v>
      </c>
      <c r="R102" s="16">
        <f t="shared" si="114"/>
        <v>0</v>
      </c>
      <c r="S102" s="16">
        <f t="shared" si="114"/>
        <v>0</v>
      </c>
      <c r="T102" s="16">
        <f t="shared" si="114"/>
        <v>0</v>
      </c>
      <c r="U102" s="16">
        <f t="shared" si="114"/>
        <v>0</v>
      </c>
      <c r="V102" s="16">
        <f t="shared" si="114"/>
        <v>0</v>
      </c>
      <c r="W102" s="16">
        <f t="shared" si="114"/>
        <v>0</v>
      </c>
      <c r="X102" s="16">
        <f t="shared" si="114"/>
        <v>0</v>
      </c>
      <c r="Y102" s="16">
        <f t="shared" si="114"/>
        <v>0</v>
      </c>
      <c r="Z102" s="16">
        <f t="shared" si="114"/>
        <v>0</v>
      </c>
      <c r="AA102" s="16">
        <f t="shared" si="114"/>
        <v>0</v>
      </c>
      <c r="AB102" s="16">
        <f t="shared" si="114"/>
        <v>0</v>
      </c>
      <c r="AC102" s="16">
        <f t="shared" si="114"/>
        <v>0</v>
      </c>
      <c r="AD102" s="16">
        <f>AD103</f>
        <v>0.54</v>
      </c>
      <c r="AE102" s="16">
        <f>SUM(AE103)</f>
        <v>0</v>
      </c>
      <c r="AF102" s="16">
        <f t="shared" ref="AF102:BC102" si="115">SUM(AF103)</f>
        <v>0</v>
      </c>
      <c r="AG102" s="16">
        <f t="shared" si="115"/>
        <v>0</v>
      </c>
      <c r="AH102" s="16">
        <f t="shared" si="115"/>
        <v>0</v>
      </c>
      <c r="AI102" s="16">
        <f t="shared" si="115"/>
        <v>0</v>
      </c>
      <c r="AJ102" s="16">
        <f t="shared" si="115"/>
        <v>0</v>
      </c>
      <c r="AK102" s="16">
        <f t="shared" si="115"/>
        <v>0</v>
      </c>
      <c r="AL102" s="16">
        <f t="shared" si="115"/>
        <v>0</v>
      </c>
      <c r="AM102" s="16">
        <f t="shared" si="115"/>
        <v>0</v>
      </c>
      <c r="AN102" s="16">
        <f t="shared" si="115"/>
        <v>0</v>
      </c>
      <c r="AO102" s="16">
        <f t="shared" si="115"/>
        <v>0</v>
      </c>
      <c r="AP102" s="16">
        <f t="shared" si="115"/>
        <v>0</v>
      </c>
      <c r="AQ102" s="16">
        <f t="shared" si="115"/>
        <v>0</v>
      </c>
      <c r="AR102" s="16">
        <f t="shared" si="115"/>
        <v>0</v>
      </c>
      <c r="AS102" s="16">
        <f t="shared" si="115"/>
        <v>0</v>
      </c>
      <c r="AT102" s="16">
        <f t="shared" si="115"/>
        <v>0</v>
      </c>
      <c r="AU102" s="16">
        <f t="shared" si="115"/>
        <v>0</v>
      </c>
      <c r="AV102" s="16">
        <f t="shared" si="115"/>
        <v>0</v>
      </c>
      <c r="AW102" s="16">
        <f t="shared" si="115"/>
        <v>0</v>
      </c>
      <c r="AX102" s="16">
        <f t="shared" si="115"/>
        <v>0</v>
      </c>
      <c r="AY102" s="16">
        <f t="shared" si="115"/>
        <v>0</v>
      </c>
      <c r="AZ102" s="16">
        <f t="shared" si="115"/>
        <v>0</v>
      </c>
      <c r="BA102" s="16">
        <f t="shared" si="115"/>
        <v>0</v>
      </c>
      <c r="BB102" s="16">
        <f t="shared" si="115"/>
        <v>0</v>
      </c>
      <c r="BC102" s="16">
        <f t="shared" si="115"/>
        <v>0</v>
      </c>
    </row>
    <row r="103" spans="1:55" ht="63" x14ac:dyDescent="0.25">
      <c r="A103" s="12" t="s">
        <v>140</v>
      </c>
      <c r="B103" s="48" t="s">
        <v>141</v>
      </c>
      <c r="C103" s="42" t="s">
        <v>142</v>
      </c>
      <c r="D103" s="19">
        <v>0.65</v>
      </c>
      <c r="E103" s="10">
        <f>J103+O103+T103+Y103</f>
        <v>0</v>
      </c>
      <c r="F103" s="10">
        <f>K103+P103+U103+Z103</f>
        <v>0</v>
      </c>
      <c r="G103" s="10">
        <f>L103+Q103+V103+AA103</f>
        <v>0</v>
      </c>
      <c r="H103" s="10">
        <f>M103+R103+W103+AB103</f>
        <v>0</v>
      </c>
      <c r="I103" s="10">
        <f>N103+S103+X103+AC103</f>
        <v>0</v>
      </c>
      <c r="J103" s="10">
        <v>0</v>
      </c>
      <c r="K103" s="10">
        <v>0</v>
      </c>
      <c r="L103" s="10">
        <v>0</v>
      </c>
      <c r="M103" s="10">
        <v>0</v>
      </c>
      <c r="N103" s="10">
        <v>0</v>
      </c>
      <c r="O103" s="10">
        <v>0</v>
      </c>
      <c r="P103" s="10">
        <v>0</v>
      </c>
      <c r="Q103" s="10">
        <v>0</v>
      </c>
      <c r="R103" s="10">
        <v>0</v>
      </c>
      <c r="S103" s="10">
        <v>0</v>
      </c>
      <c r="T103" s="10">
        <f>SUM(U103:X103)</f>
        <v>0</v>
      </c>
      <c r="U103" s="10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9">
        <v>0.54</v>
      </c>
      <c r="AE103" s="10">
        <f>AJ103+AO103+AT103+AY103</f>
        <v>0</v>
      </c>
      <c r="AF103" s="10">
        <f>AK103+AP103+AU103+AZ103</f>
        <v>0</v>
      </c>
      <c r="AG103" s="10">
        <f>AL103+AQ103+AV103+BA103</f>
        <v>0</v>
      </c>
      <c r="AH103" s="10">
        <f>AM103+AR103+AW103+BB103</f>
        <v>0</v>
      </c>
      <c r="AI103" s="10">
        <f>AN103+AS103+AX103+BC103</f>
        <v>0</v>
      </c>
      <c r="AJ103" s="10">
        <v>0</v>
      </c>
      <c r="AK103" s="10">
        <v>0</v>
      </c>
      <c r="AL103" s="10">
        <v>0</v>
      </c>
      <c r="AM103" s="10">
        <v>0</v>
      </c>
      <c r="AN103" s="10">
        <v>0</v>
      </c>
      <c r="AO103" s="10">
        <v>0</v>
      </c>
      <c r="AP103" s="10">
        <v>0</v>
      </c>
      <c r="AQ103" s="10">
        <v>0</v>
      </c>
      <c r="AR103" s="10">
        <v>0</v>
      </c>
      <c r="AS103" s="10">
        <v>0</v>
      </c>
      <c r="AT103" s="10">
        <f>SUM(AU103:AX103)</f>
        <v>0</v>
      </c>
      <c r="AU103" s="10">
        <v>0</v>
      </c>
      <c r="AV103" s="10">
        <v>0</v>
      </c>
      <c r="AW103" s="10">
        <v>0</v>
      </c>
      <c r="AX103" s="10">
        <v>0</v>
      </c>
      <c r="AY103" s="10">
        <f>SUM(AZ103:BC103)</f>
        <v>0</v>
      </c>
      <c r="AZ103" s="10">
        <v>0</v>
      </c>
      <c r="BA103" s="10">
        <v>0</v>
      </c>
      <c r="BB103" s="10">
        <v>0</v>
      </c>
      <c r="BC103" s="10">
        <v>0</v>
      </c>
    </row>
    <row r="104" spans="1:55" ht="63" x14ac:dyDescent="0.25">
      <c r="A104" s="71" t="s">
        <v>143</v>
      </c>
      <c r="B104" s="72" t="s">
        <v>144</v>
      </c>
      <c r="C104" s="71" t="s">
        <v>77</v>
      </c>
      <c r="D104" s="16" t="s">
        <v>91</v>
      </c>
      <c r="E104" s="16" t="s">
        <v>91</v>
      </c>
      <c r="F104" s="16" t="s">
        <v>91</v>
      </c>
      <c r="G104" s="16" t="s">
        <v>91</v>
      </c>
      <c r="H104" s="16" t="s">
        <v>91</v>
      </c>
      <c r="I104" s="16" t="s">
        <v>91</v>
      </c>
      <c r="J104" s="16" t="s">
        <v>91</v>
      </c>
      <c r="K104" s="16" t="s">
        <v>91</v>
      </c>
      <c r="L104" s="16" t="s">
        <v>91</v>
      </c>
      <c r="M104" s="16" t="s">
        <v>91</v>
      </c>
      <c r="N104" s="16" t="s">
        <v>91</v>
      </c>
      <c r="O104" s="16" t="s">
        <v>91</v>
      </c>
      <c r="P104" s="16" t="s">
        <v>91</v>
      </c>
      <c r="Q104" s="16" t="s">
        <v>91</v>
      </c>
      <c r="R104" s="16" t="s">
        <v>91</v>
      </c>
      <c r="S104" s="16" t="s">
        <v>91</v>
      </c>
      <c r="T104" s="16" t="s">
        <v>91</v>
      </c>
      <c r="U104" s="16" t="s">
        <v>91</v>
      </c>
      <c r="V104" s="16" t="s">
        <v>91</v>
      </c>
      <c r="W104" s="16" t="s">
        <v>91</v>
      </c>
      <c r="X104" s="16" t="s">
        <v>91</v>
      </c>
      <c r="Y104" s="16" t="s">
        <v>91</v>
      </c>
      <c r="Z104" s="16" t="s">
        <v>91</v>
      </c>
      <c r="AA104" s="16" t="s">
        <v>91</v>
      </c>
      <c r="AB104" s="16" t="s">
        <v>91</v>
      </c>
      <c r="AC104" s="16" t="s">
        <v>91</v>
      </c>
      <c r="AD104" s="10" t="s">
        <v>91</v>
      </c>
      <c r="AE104" s="16" t="s">
        <v>91</v>
      </c>
      <c r="AF104" s="16" t="s">
        <v>91</v>
      </c>
      <c r="AG104" s="16" t="s">
        <v>91</v>
      </c>
      <c r="AH104" s="16" t="s">
        <v>91</v>
      </c>
      <c r="AI104" s="16" t="s">
        <v>91</v>
      </c>
      <c r="AJ104" s="16" t="s">
        <v>91</v>
      </c>
      <c r="AK104" s="16" t="s">
        <v>91</v>
      </c>
      <c r="AL104" s="16" t="s">
        <v>91</v>
      </c>
      <c r="AM104" s="16" t="s">
        <v>91</v>
      </c>
      <c r="AN104" s="16" t="s">
        <v>91</v>
      </c>
      <c r="AO104" s="16" t="s">
        <v>91</v>
      </c>
      <c r="AP104" s="16" t="s">
        <v>91</v>
      </c>
      <c r="AQ104" s="16" t="s">
        <v>91</v>
      </c>
      <c r="AR104" s="16" t="s">
        <v>91</v>
      </c>
      <c r="AS104" s="16" t="s">
        <v>91</v>
      </c>
      <c r="AT104" s="16" t="s">
        <v>91</v>
      </c>
      <c r="AU104" s="16" t="s">
        <v>91</v>
      </c>
      <c r="AV104" s="16" t="s">
        <v>91</v>
      </c>
      <c r="AW104" s="16" t="s">
        <v>91</v>
      </c>
      <c r="AX104" s="16" t="s">
        <v>91</v>
      </c>
      <c r="AY104" s="16" t="s">
        <v>91</v>
      </c>
      <c r="AZ104" s="16" t="s">
        <v>91</v>
      </c>
      <c r="BA104" s="16" t="s">
        <v>91</v>
      </c>
      <c r="BB104" s="16" t="s">
        <v>91</v>
      </c>
      <c r="BC104" s="16" t="s">
        <v>91</v>
      </c>
    </row>
    <row r="105" spans="1:55" ht="31.5" x14ac:dyDescent="0.25">
      <c r="A105" s="11" t="s">
        <v>145</v>
      </c>
      <c r="B105" s="64" t="s">
        <v>146</v>
      </c>
      <c r="C105" s="11" t="s">
        <v>77</v>
      </c>
      <c r="D105" s="16">
        <f t="shared" ref="D105:AI105" si="116">SUM(D106:D134)</f>
        <v>63.6</v>
      </c>
      <c r="E105" s="16">
        <f>SUM(E106:E134)</f>
        <v>29.311778363999998</v>
      </c>
      <c r="F105" s="16">
        <f t="shared" ref="F105:I105" si="117">SUM(F106:F134)</f>
        <v>1.2790471999999999</v>
      </c>
      <c r="G105" s="16">
        <f t="shared" si="117"/>
        <v>23.737749892</v>
      </c>
      <c r="H105" s="16">
        <f t="shared" si="117"/>
        <v>3.6061999999999999</v>
      </c>
      <c r="I105" s="16">
        <f t="shared" si="117"/>
        <v>0.68558127199999996</v>
      </c>
      <c r="J105" s="16">
        <f t="shared" si="116"/>
        <v>12.0647948</v>
      </c>
      <c r="K105" s="16">
        <f t="shared" si="116"/>
        <v>0.6339191999999999</v>
      </c>
      <c r="L105" s="16">
        <f t="shared" si="116"/>
        <v>8.6450975999999997</v>
      </c>
      <c r="M105" s="16">
        <f t="shared" si="116"/>
        <v>2.7349999999999999</v>
      </c>
      <c r="N105" s="16">
        <f t="shared" si="116"/>
        <v>5.0777999999999997E-2</v>
      </c>
      <c r="O105" s="16">
        <f t="shared" si="116"/>
        <v>2.0410723800000001</v>
      </c>
      <c r="P105" s="16">
        <f t="shared" si="116"/>
        <v>0.36352799999999996</v>
      </c>
      <c r="Q105" s="16">
        <f t="shared" si="116"/>
        <v>1.405221456</v>
      </c>
      <c r="R105" s="16">
        <f t="shared" si="116"/>
        <v>0</v>
      </c>
      <c r="S105" s="16">
        <f t="shared" si="116"/>
        <v>0.27232292400000002</v>
      </c>
      <c r="T105" s="16">
        <f t="shared" si="116"/>
        <v>7.4019111840000003</v>
      </c>
      <c r="U105" s="16">
        <f t="shared" si="116"/>
        <v>0</v>
      </c>
      <c r="V105" s="16">
        <f t="shared" si="116"/>
        <v>7.1284308360000006</v>
      </c>
      <c r="W105" s="16">
        <f t="shared" si="116"/>
        <v>0</v>
      </c>
      <c r="X105" s="16">
        <f t="shared" si="116"/>
        <v>0.27348034799999998</v>
      </c>
      <c r="Y105" s="16">
        <f t="shared" si="116"/>
        <v>7.8039999999999985</v>
      </c>
      <c r="Z105" s="16">
        <f t="shared" si="116"/>
        <v>0.28160000000000002</v>
      </c>
      <c r="AA105" s="16">
        <f t="shared" si="116"/>
        <v>6.5590000000000002</v>
      </c>
      <c r="AB105" s="16">
        <f t="shared" si="116"/>
        <v>0.87119999999999997</v>
      </c>
      <c r="AC105" s="16">
        <f t="shared" si="116"/>
        <v>8.8999999999999968E-2</v>
      </c>
      <c r="AD105" s="16">
        <f t="shared" si="116"/>
        <v>56.04</v>
      </c>
      <c r="AE105" s="16">
        <f t="shared" si="116"/>
        <v>28.364159499999996</v>
      </c>
      <c r="AF105" s="16">
        <f t="shared" si="116"/>
        <v>2.3152622200000001</v>
      </c>
      <c r="AG105" s="16">
        <f t="shared" si="116"/>
        <v>22.299334820000002</v>
      </c>
      <c r="AH105" s="16">
        <f t="shared" si="116"/>
        <v>3.01031</v>
      </c>
      <c r="AI105" s="16">
        <f t="shared" si="116"/>
        <v>0.74938830000000001</v>
      </c>
      <c r="AJ105" s="16">
        <f t="shared" ref="AJ105:AS105" si="118">SUM(AJ106:AJ134)</f>
        <v>3.2725</v>
      </c>
      <c r="AK105" s="16">
        <f t="shared" si="118"/>
        <v>0.40050000000000002</v>
      </c>
      <c r="AL105" s="16">
        <f t="shared" si="118"/>
        <v>2.8719999999999999</v>
      </c>
      <c r="AM105" s="16">
        <f t="shared" si="118"/>
        <v>0</v>
      </c>
      <c r="AN105" s="16">
        <f t="shared" si="118"/>
        <v>0</v>
      </c>
      <c r="AO105" s="16">
        <f t="shared" si="118"/>
        <v>8.4672405600000005</v>
      </c>
      <c r="AP105" s="16">
        <f t="shared" si="118"/>
        <v>0.91976221999999996</v>
      </c>
      <c r="AQ105" s="16">
        <f t="shared" si="118"/>
        <v>4.8166800399999996</v>
      </c>
      <c r="AR105" s="16">
        <f t="shared" si="118"/>
        <v>2.2834099999999999</v>
      </c>
      <c r="AS105" s="16">
        <f t="shared" si="118"/>
        <v>0.44738830000000002</v>
      </c>
      <c r="AT105" s="16">
        <f t="shared" ref="AT105" si="119">SUM(AT106:AT134)</f>
        <v>3.6942488</v>
      </c>
      <c r="AU105" s="16">
        <f t="shared" ref="AU105" si="120">SUM(AU106:AU134)</f>
        <v>0</v>
      </c>
      <c r="AV105" s="16">
        <f t="shared" ref="AV105" si="121">SUM(AV106:AV134)</f>
        <v>3.6942488</v>
      </c>
      <c r="AW105" s="16">
        <f t="shared" ref="AW105" si="122">SUM(AW106:AW134)</f>
        <v>0</v>
      </c>
      <c r="AX105" s="16">
        <f t="shared" ref="AX105" si="123">SUM(AX106:AX134)</f>
        <v>0</v>
      </c>
      <c r="AY105" s="16">
        <f t="shared" ref="AY105" si="124">SUM(AY106:AY134)</f>
        <v>12.930170140000001</v>
      </c>
      <c r="AZ105" s="16">
        <f t="shared" ref="AZ105" si="125">SUM(AZ106:AZ134)</f>
        <v>0.995</v>
      </c>
      <c r="BA105" s="16">
        <f t="shared" ref="BA105" si="126">SUM(BA106:BA134)</f>
        <v>10.91640598</v>
      </c>
      <c r="BB105" s="16">
        <f t="shared" ref="BB105" si="127">SUM(BB106:BB134)</f>
        <v>0.72689999999999999</v>
      </c>
      <c r="BC105" s="16">
        <f t="shared" ref="BC105" si="128">SUM(BC106:BC134)</f>
        <v>0.30200000000000005</v>
      </c>
    </row>
    <row r="106" spans="1:55" s="13" customFormat="1" ht="47.25" x14ac:dyDescent="0.25">
      <c r="A106" s="12" t="s">
        <v>418</v>
      </c>
      <c r="B106" s="48" t="s">
        <v>259</v>
      </c>
      <c r="C106" s="12" t="s">
        <v>260</v>
      </c>
      <c r="D106" s="16">
        <v>0.70499999999999996</v>
      </c>
      <c r="E106" s="10">
        <f t="shared" ref="E106:E132" si="129">J106+O106+T106+Y106</f>
        <v>0</v>
      </c>
      <c r="F106" s="10">
        <f t="shared" ref="F106:F132" si="130">K106+P106+U106+Z106</f>
        <v>0</v>
      </c>
      <c r="G106" s="10">
        <f t="shared" ref="G106:G132" si="131">L106+Q106+V106+AA106</f>
        <v>0</v>
      </c>
      <c r="H106" s="10">
        <f t="shared" ref="H106:H132" si="132">M106+R106+W106+AB106</f>
        <v>0</v>
      </c>
      <c r="I106" s="10">
        <f t="shared" ref="I106:I134" si="133">N106+S106+X106+AC106</f>
        <v>0</v>
      </c>
      <c r="J106" s="10">
        <f t="shared" ref="J106:J134" si="134">SUM(K106:N106)</f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f t="shared" ref="O106:O134" si="135">SUM(P106:S106)</f>
        <v>0</v>
      </c>
      <c r="P106" s="10">
        <v>0</v>
      </c>
      <c r="Q106" s="10">
        <v>0</v>
      </c>
      <c r="R106" s="10">
        <v>0</v>
      </c>
      <c r="S106" s="10">
        <v>0</v>
      </c>
      <c r="T106" s="15">
        <f t="shared" ref="T106:T134" si="136">SUM(U106:X106)</f>
        <v>0</v>
      </c>
      <c r="U106" s="15">
        <v>0</v>
      </c>
      <c r="V106" s="10">
        <v>0</v>
      </c>
      <c r="W106" s="10">
        <v>0</v>
      </c>
      <c r="X106" s="10">
        <v>0</v>
      </c>
      <c r="Y106" s="17">
        <v>0</v>
      </c>
      <c r="Z106" s="10">
        <v>0</v>
      </c>
      <c r="AA106" s="10">
        <v>0</v>
      </c>
      <c r="AB106" s="10">
        <v>0</v>
      </c>
      <c r="AC106" s="10">
        <v>0</v>
      </c>
      <c r="AD106" s="19">
        <v>0.59</v>
      </c>
      <c r="AE106" s="10">
        <f t="shared" ref="AE106:AE132" si="137">AJ106+AO106+AT106+AY106</f>
        <v>0</v>
      </c>
      <c r="AF106" s="10">
        <f t="shared" ref="AF106:AF132" si="138">AK106+AP106+AU106+AZ106</f>
        <v>0</v>
      </c>
      <c r="AG106" s="10">
        <f t="shared" ref="AG106:AG132" si="139">AL106+AQ106+AV106+BA106</f>
        <v>0</v>
      </c>
      <c r="AH106" s="10">
        <f t="shared" ref="AH106:AH132" si="140">AM106+AR106+AW106+BB106</f>
        <v>0</v>
      </c>
      <c r="AI106" s="10">
        <f t="shared" ref="AI106:AI132" si="141">AN106+AS106+AX106+BC106</f>
        <v>0</v>
      </c>
      <c r="AJ106" s="10">
        <f t="shared" ref="AJ106:AJ134" si="142">SUM(AK106:AN106)</f>
        <v>0</v>
      </c>
      <c r="AK106" s="10">
        <v>0</v>
      </c>
      <c r="AL106" s="10">
        <v>0</v>
      </c>
      <c r="AM106" s="10">
        <v>0</v>
      </c>
      <c r="AN106" s="10">
        <v>0</v>
      </c>
      <c r="AO106" s="10">
        <f t="shared" ref="AO106:AO132" si="143">SUM(AP106:AS106)</f>
        <v>0</v>
      </c>
      <c r="AP106" s="10">
        <v>0</v>
      </c>
      <c r="AQ106" s="10">
        <v>0</v>
      </c>
      <c r="AR106" s="10">
        <v>0</v>
      </c>
      <c r="AS106" s="10">
        <v>0</v>
      </c>
      <c r="AT106" s="10">
        <f t="shared" ref="AT106:AT132" si="144">SUM(AU106:AX106)</f>
        <v>0</v>
      </c>
      <c r="AU106" s="10">
        <v>0</v>
      </c>
      <c r="AV106" s="10">
        <v>0</v>
      </c>
      <c r="AW106" s="10">
        <v>0</v>
      </c>
      <c r="AX106" s="10">
        <v>0</v>
      </c>
      <c r="AY106" s="10">
        <v>0</v>
      </c>
      <c r="AZ106" s="10">
        <v>0</v>
      </c>
      <c r="BA106" s="10">
        <v>0</v>
      </c>
      <c r="BB106" s="10">
        <v>0</v>
      </c>
      <c r="BC106" s="10">
        <v>0</v>
      </c>
    </row>
    <row r="107" spans="1:55" s="13" customFormat="1" ht="31.5" x14ac:dyDescent="0.25">
      <c r="A107" s="12" t="s">
        <v>419</v>
      </c>
      <c r="B107" s="43" t="s">
        <v>211</v>
      </c>
      <c r="C107" s="39" t="s">
        <v>212</v>
      </c>
      <c r="D107" s="16">
        <v>3.2850000000000001</v>
      </c>
      <c r="E107" s="10">
        <f t="shared" si="129"/>
        <v>0</v>
      </c>
      <c r="F107" s="10">
        <f t="shared" si="130"/>
        <v>0</v>
      </c>
      <c r="G107" s="10">
        <f t="shared" si="131"/>
        <v>0</v>
      </c>
      <c r="H107" s="10">
        <f t="shared" si="132"/>
        <v>0</v>
      </c>
      <c r="I107" s="10">
        <f t="shared" si="133"/>
        <v>0</v>
      </c>
      <c r="J107" s="10">
        <f t="shared" si="134"/>
        <v>0</v>
      </c>
      <c r="K107" s="10">
        <v>0</v>
      </c>
      <c r="L107" s="10">
        <v>0</v>
      </c>
      <c r="M107" s="10">
        <v>0</v>
      </c>
      <c r="N107" s="10">
        <v>0</v>
      </c>
      <c r="O107" s="10">
        <f t="shared" si="135"/>
        <v>0</v>
      </c>
      <c r="P107" s="10">
        <v>0</v>
      </c>
      <c r="Q107" s="10">
        <v>0</v>
      </c>
      <c r="R107" s="10">
        <v>0</v>
      </c>
      <c r="S107" s="10">
        <v>0</v>
      </c>
      <c r="T107" s="15">
        <f t="shared" si="136"/>
        <v>0</v>
      </c>
      <c r="U107" s="15">
        <v>0</v>
      </c>
      <c r="V107" s="10">
        <v>0</v>
      </c>
      <c r="W107" s="10">
        <v>0</v>
      </c>
      <c r="X107" s="10">
        <v>0</v>
      </c>
      <c r="Y107" s="17">
        <v>0</v>
      </c>
      <c r="Z107" s="10">
        <v>0</v>
      </c>
      <c r="AA107" s="10">
        <v>0</v>
      </c>
      <c r="AB107" s="10">
        <v>0</v>
      </c>
      <c r="AC107" s="10">
        <v>0</v>
      </c>
      <c r="AD107" s="19">
        <v>2.74</v>
      </c>
      <c r="AE107" s="10">
        <f t="shared" si="137"/>
        <v>0</v>
      </c>
      <c r="AF107" s="10">
        <f t="shared" si="138"/>
        <v>0</v>
      </c>
      <c r="AG107" s="10">
        <f t="shared" si="139"/>
        <v>0</v>
      </c>
      <c r="AH107" s="10">
        <f t="shared" si="140"/>
        <v>0</v>
      </c>
      <c r="AI107" s="10">
        <f t="shared" si="141"/>
        <v>0</v>
      </c>
      <c r="AJ107" s="10">
        <f t="shared" si="142"/>
        <v>0</v>
      </c>
      <c r="AK107" s="10">
        <v>0</v>
      </c>
      <c r="AL107" s="10">
        <v>0</v>
      </c>
      <c r="AM107" s="10">
        <v>0</v>
      </c>
      <c r="AN107" s="10">
        <v>0</v>
      </c>
      <c r="AO107" s="10">
        <f t="shared" si="143"/>
        <v>0</v>
      </c>
      <c r="AP107" s="10">
        <v>0</v>
      </c>
      <c r="AQ107" s="10">
        <v>0</v>
      </c>
      <c r="AR107" s="10">
        <v>0</v>
      </c>
      <c r="AS107" s="10">
        <v>0</v>
      </c>
      <c r="AT107" s="10">
        <f t="shared" si="144"/>
        <v>0</v>
      </c>
      <c r="AU107" s="10">
        <v>0</v>
      </c>
      <c r="AV107" s="10">
        <v>0</v>
      </c>
      <c r="AW107" s="10">
        <v>0</v>
      </c>
      <c r="AX107" s="10">
        <v>0</v>
      </c>
      <c r="AY107" s="10">
        <v>0</v>
      </c>
      <c r="AZ107" s="10">
        <v>0</v>
      </c>
      <c r="BA107" s="10">
        <v>0</v>
      </c>
      <c r="BB107" s="10">
        <v>0</v>
      </c>
      <c r="BC107" s="10">
        <v>0</v>
      </c>
    </row>
    <row r="108" spans="1:55" s="13" customFormat="1" ht="75" x14ac:dyDescent="0.25">
      <c r="A108" s="12" t="s">
        <v>420</v>
      </c>
      <c r="B108" s="54" t="s">
        <v>219</v>
      </c>
      <c r="C108" s="12" t="s">
        <v>220</v>
      </c>
      <c r="D108" s="16">
        <v>7.75</v>
      </c>
      <c r="E108" s="10">
        <f t="shared" si="129"/>
        <v>6.5950968000000003</v>
      </c>
      <c r="F108" s="10">
        <f t="shared" si="130"/>
        <v>0.49999919999999998</v>
      </c>
      <c r="G108" s="10">
        <f t="shared" si="131"/>
        <v>6.0950975999999999</v>
      </c>
      <c r="H108" s="10">
        <f t="shared" si="132"/>
        <v>0</v>
      </c>
      <c r="I108" s="10">
        <f t="shared" si="133"/>
        <v>0</v>
      </c>
      <c r="J108" s="10">
        <f t="shared" si="134"/>
        <v>6.5950968000000003</v>
      </c>
      <c r="K108" s="10">
        <f>0.416666*1.2</f>
        <v>0.49999919999999998</v>
      </c>
      <c r="L108" s="10">
        <f>5.079248*1.2</f>
        <v>6.0950975999999999</v>
      </c>
      <c r="M108" s="10">
        <v>0</v>
      </c>
      <c r="N108" s="10">
        <v>0</v>
      </c>
      <c r="O108" s="10">
        <f t="shared" si="135"/>
        <v>0</v>
      </c>
      <c r="P108" s="10">
        <v>0</v>
      </c>
      <c r="Q108" s="10">
        <v>0</v>
      </c>
      <c r="R108" s="10">
        <v>0</v>
      </c>
      <c r="S108" s="10">
        <v>0</v>
      </c>
      <c r="T108" s="15">
        <f t="shared" si="136"/>
        <v>0</v>
      </c>
      <c r="U108" s="15">
        <v>0</v>
      </c>
      <c r="V108" s="10">
        <v>0</v>
      </c>
      <c r="W108" s="10">
        <v>0</v>
      </c>
      <c r="X108" s="10">
        <v>0</v>
      </c>
      <c r="Y108" s="17">
        <v>0</v>
      </c>
      <c r="Z108" s="10">
        <v>0</v>
      </c>
      <c r="AA108" s="10">
        <v>0</v>
      </c>
      <c r="AB108" s="10">
        <v>0</v>
      </c>
      <c r="AC108" s="10">
        <v>0</v>
      </c>
      <c r="AD108" s="19" t="s">
        <v>91</v>
      </c>
      <c r="AE108" s="10">
        <f t="shared" si="137"/>
        <v>0</v>
      </c>
      <c r="AF108" s="10">
        <f t="shared" si="138"/>
        <v>0</v>
      </c>
      <c r="AG108" s="10">
        <f t="shared" si="139"/>
        <v>0</v>
      </c>
      <c r="AH108" s="10">
        <f t="shared" si="140"/>
        <v>0</v>
      </c>
      <c r="AI108" s="10">
        <f t="shared" si="141"/>
        <v>0</v>
      </c>
      <c r="AJ108" s="10">
        <f t="shared" si="142"/>
        <v>0</v>
      </c>
      <c r="AK108" s="10">
        <v>0</v>
      </c>
      <c r="AL108" s="10">
        <v>0</v>
      </c>
      <c r="AM108" s="10">
        <v>0</v>
      </c>
      <c r="AN108" s="10">
        <v>0</v>
      </c>
      <c r="AO108" s="10">
        <f t="shared" si="143"/>
        <v>0</v>
      </c>
      <c r="AP108" s="10">
        <v>0</v>
      </c>
      <c r="AQ108" s="10">
        <v>0</v>
      </c>
      <c r="AR108" s="10">
        <v>0</v>
      </c>
      <c r="AS108" s="10">
        <v>0</v>
      </c>
      <c r="AT108" s="10">
        <f t="shared" si="144"/>
        <v>0</v>
      </c>
      <c r="AU108" s="10">
        <v>0</v>
      </c>
      <c r="AV108" s="10">
        <v>0</v>
      </c>
      <c r="AW108" s="10">
        <v>0</v>
      </c>
      <c r="AX108" s="10">
        <v>0</v>
      </c>
      <c r="AY108" s="10">
        <v>0</v>
      </c>
      <c r="AZ108" s="10">
        <v>0</v>
      </c>
      <c r="BA108" s="10">
        <v>0</v>
      </c>
      <c r="BB108" s="10">
        <v>0</v>
      </c>
      <c r="BC108" s="10">
        <v>0</v>
      </c>
    </row>
    <row r="109" spans="1:55" s="13" customFormat="1" ht="47.25" x14ac:dyDescent="0.25">
      <c r="A109" s="12" t="s">
        <v>147</v>
      </c>
      <c r="B109" s="36" t="s">
        <v>357</v>
      </c>
      <c r="C109" s="39" t="s">
        <v>358</v>
      </c>
      <c r="D109" s="16">
        <v>2.15</v>
      </c>
      <c r="E109" s="10">
        <f t="shared" si="129"/>
        <v>0</v>
      </c>
      <c r="F109" s="10">
        <f t="shared" ref="F109:F117" si="145">K109+P109+U109+Z109</f>
        <v>0</v>
      </c>
      <c r="G109" s="10">
        <f t="shared" ref="G109:G117" si="146">L109+Q109+V109+AA109</f>
        <v>0</v>
      </c>
      <c r="H109" s="10">
        <f t="shared" ref="H109:H117" si="147">M109+R109+W109+AB109</f>
        <v>0</v>
      </c>
      <c r="I109" s="10">
        <f t="shared" ref="I109:I117" si="148">N109+S109+X109+AC109</f>
        <v>0</v>
      </c>
      <c r="J109" s="10">
        <f t="shared" ref="J109:J117" si="149">SUM(K109:N109)</f>
        <v>0</v>
      </c>
      <c r="K109" s="10">
        <v>0</v>
      </c>
      <c r="L109" s="10">
        <v>0</v>
      </c>
      <c r="M109" s="10">
        <v>0</v>
      </c>
      <c r="N109" s="10">
        <v>0</v>
      </c>
      <c r="O109" s="10">
        <f t="shared" ref="O109:O117" si="150">SUM(P109:S109)</f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9">
        <v>1.79</v>
      </c>
      <c r="AE109" s="10">
        <f t="shared" ref="AE109:AE117" si="151">AJ109+AO109+AT109+AY109</f>
        <v>0</v>
      </c>
      <c r="AF109" s="10">
        <f t="shared" ref="AF109:AF117" si="152">AK109+AP109+AU109+AZ109</f>
        <v>0</v>
      </c>
      <c r="AG109" s="10">
        <f t="shared" ref="AG109:AG117" si="153">AL109+AQ109+AV109+BA109</f>
        <v>0</v>
      </c>
      <c r="AH109" s="10">
        <f t="shared" ref="AH109:AH117" si="154">AM109+AR109+AW109+BB109</f>
        <v>0</v>
      </c>
      <c r="AI109" s="10">
        <f t="shared" ref="AI109:AI117" si="155">AN109+AS109+AX109+BC109</f>
        <v>0</v>
      </c>
      <c r="AJ109" s="10">
        <f t="shared" ref="AJ109:AJ117" si="156">SUM(AK109:AN109)</f>
        <v>0</v>
      </c>
      <c r="AK109" s="10">
        <v>0</v>
      </c>
      <c r="AL109" s="10">
        <v>0</v>
      </c>
      <c r="AM109" s="10">
        <v>0</v>
      </c>
      <c r="AN109" s="10">
        <v>0</v>
      </c>
      <c r="AO109" s="10">
        <f t="shared" ref="AO109:AO117" si="157">SUM(AP109:AS109)</f>
        <v>0</v>
      </c>
      <c r="AP109" s="10">
        <v>0</v>
      </c>
      <c r="AQ109" s="10">
        <v>0</v>
      </c>
      <c r="AR109" s="10">
        <v>0</v>
      </c>
      <c r="AS109" s="10">
        <v>0</v>
      </c>
      <c r="AT109" s="10">
        <f t="shared" ref="AT109:AT117" si="158">SUM(AU109:AX109)</f>
        <v>0</v>
      </c>
      <c r="AU109" s="10">
        <v>0</v>
      </c>
      <c r="AV109" s="10">
        <v>0</v>
      </c>
      <c r="AW109" s="10">
        <v>0</v>
      </c>
      <c r="AX109" s="10">
        <v>0</v>
      </c>
      <c r="AY109" s="10">
        <v>0</v>
      </c>
      <c r="AZ109" s="10">
        <v>0</v>
      </c>
      <c r="BA109" s="10">
        <v>0</v>
      </c>
      <c r="BB109" s="10">
        <v>0</v>
      </c>
      <c r="BC109" s="10">
        <v>0</v>
      </c>
    </row>
    <row r="110" spans="1:55" s="13" customFormat="1" ht="47.25" x14ac:dyDescent="0.25">
      <c r="A110" s="12" t="s">
        <v>148</v>
      </c>
      <c r="B110" s="36" t="s">
        <v>359</v>
      </c>
      <c r="C110" s="39" t="s">
        <v>360</v>
      </c>
      <c r="D110" s="16">
        <v>0.67</v>
      </c>
      <c r="E110" s="10">
        <f t="shared" si="129"/>
        <v>0</v>
      </c>
      <c r="F110" s="10">
        <f t="shared" si="145"/>
        <v>0</v>
      </c>
      <c r="G110" s="10">
        <f t="shared" si="146"/>
        <v>0</v>
      </c>
      <c r="H110" s="10">
        <f t="shared" si="147"/>
        <v>0</v>
      </c>
      <c r="I110" s="10">
        <f t="shared" si="148"/>
        <v>0</v>
      </c>
      <c r="J110" s="10">
        <f t="shared" si="149"/>
        <v>0</v>
      </c>
      <c r="K110" s="10">
        <v>0</v>
      </c>
      <c r="L110" s="10">
        <v>0</v>
      </c>
      <c r="M110" s="10">
        <v>0</v>
      </c>
      <c r="N110" s="10">
        <v>0</v>
      </c>
      <c r="O110" s="10">
        <f t="shared" si="150"/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9">
        <v>0.56000000000000005</v>
      </c>
      <c r="AE110" s="10">
        <f t="shared" si="151"/>
        <v>0</v>
      </c>
      <c r="AF110" s="10">
        <f t="shared" si="152"/>
        <v>0</v>
      </c>
      <c r="AG110" s="10">
        <f t="shared" si="153"/>
        <v>0</v>
      </c>
      <c r="AH110" s="10">
        <f t="shared" si="154"/>
        <v>0</v>
      </c>
      <c r="AI110" s="10">
        <f t="shared" si="155"/>
        <v>0</v>
      </c>
      <c r="AJ110" s="10">
        <f t="shared" si="156"/>
        <v>0</v>
      </c>
      <c r="AK110" s="10">
        <v>0</v>
      </c>
      <c r="AL110" s="10">
        <v>0</v>
      </c>
      <c r="AM110" s="10">
        <v>0</v>
      </c>
      <c r="AN110" s="10">
        <v>0</v>
      </c>
      <c r="AO110" s="10">
        <f t="shared" si="157"/>
        <v>0</v>
      </c>
      <c r="AP110" s="10">
        <v>0</v>
      </c>
      <c r="AQ110" s="10">
        <v>0</v>
      </c>
      <c r="AR110" s="10">
        <v>0</v>
      </c>
      <c r="AS110" s="10">
        <v>0</v>
      </c>
      <c r="AT110" s="10">
        <f t="shared" si="158"/>
        <v>0</v>
      </c>
      <c r="AU110" s="10">
        <v>0</v>
      </c>
      <c r="AV110" s="10">
        <v>0</v>
      </c>
      <c r="AW110" s="10">
        <v>0</v>
      </c>
      <c r="AX110" s="10">
        <v>0</v>
      </c>
      <c r="AY110" s="10">
        <v>0</v>
      </c>
      <c r="AZ110" s="10">
        <v>0</v>
      </c>
      <c r="BA110" s="10">
        <v>0</v>
      </c>
      <c r="BB110" s="10">
        <v>0</v>
      </c>
      <c r="BC110" s="10">
        <v>0</v>
      </c>
    </row>
    <row r="111" spans="1:55" s="13" customFormat="1" ht="78.75" x14ac:dyDescent="0.25">
      <c r="A111" s="12" t="s">
        <v>421</v>
      </c>
      <c r="B111" s="36" t="s">
        <v>361</v>
      </c>
      <c r="C111" s="39" t="s">
        <v>362</v>
      </c>
      <c r="D111" s="16">
        <v>1.23</v>
      </c>
      <c r="E111" s="10">
        <f t="shared" si="129"/>
        <v>1.665</v>
      </c>
      <c r="F111" s="10">
        <f t="shared" si="145"/>
        <v>0</v>
      </c>
      <c r="G111" s="10">
        <f t="shared" si="146"/>
        <v>1.665</v>
      </c>
      <c r="H111" s="10">
        <f t="shared" si="147"/>
        <v>0</v>
      </c>
      <c r="I111" s="10">
        <f t="shared" si="148"/>
        <v>0</v>
      </c>
      <c r="J111" s="10">
        <f t="shared" si="149"/>
        <v>0</v>
      </c>
      <c r="K111" s="10">
        <v>0</v>
      </c>
      <c r="L111" s="10">
        <v>0</v>
      </c>
      <c r="M111" s="10">
        <v>0</v>
      </c>
      <c r="N111" s="10">
        <v>0</v>
      </c>
      <c r="O111" s="10">
        <f t="shared" si="150"/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1.665</v>
      </c>
      <c r="Z111" s="10">
        <v>0</v>
      </c>
      <c r="AA111" s="10">
        <v>1.665</v>
      </c>
      <c r="AB111" s="10">
        <v>0</v>
      </c>
      <c r="AC111" s="10">
        <v>0</v>
      </c>
      <c r="AD111" s="19">
        <v>4.28</v>
      </c>
      <c r="AE111" s="10">
        <f t="shared" si="151"/>
        <v>4.64837889</v>
      </c>
      <c r="AF111" s="10">
        <f t="shared" si="152"/>
        <v>0.38</v>
      </c>
      <c r="AG111" s="10">
        <f t="shared" si="153"/>
        <v>4.2699999999999996</v>
      </c>
      <c r="AH111" s="10">
        <f t="shared" si="154"/>
        <v>0</v>
      </c>
      <c r="AI111" s="10">
        <f t="shared" si="155"/>
        <v>0</v>
      </c>
      <c r="AJ111" s="10">
        <f t="shared" si="156"/>
        <v>0</v>
      </c>
      <c r="AK111" s="10">
        <v>0</v>
      </c>
      <c r="AL111" s="10">
        <v>0</v>
      </c>
      <c r="AM111" s="10">
        <v>0</v>
      </c>
      <c r="AN111" s="10">
        <v>0</v>
      </c>
      <c r="AO111" s="10">
        <f t="shared" si="157"/>
        <v>0</v>
      </c>
      <c r="AP111" s="10">
        <v>0</v>
      </c>
      <c r="AQ111" s="10">
        <v>0</v>
      </c>
      <c r="AR111" s="10">
        <v>0</v>
      </c>
      <c r="AS111" s="10">
        <v>0</v>
      </c>
      <c r="AT111" s="10">
        <f t="shared" si="158"/>
        <v>0</v>
      </c>
      <c r="AU111" s="10">
        <v>0</v>
      </c>
      <c r="AV111" s="10">
        <v>0</v>
      </c>
      <c r="AW111" s="10">
        <v>0</v>
      </c>
      <c r="AX111" s="10">
        <v>0</v>
      </c>
      <c r="AY111" s="10">
        <v>4.64837889</v>
      </c>
      <c r="AZ111" s="10">
        <v>0.38</v>
      </c>
      <c r="BA111" s="10">
        <v>4.2699999999999996</v>
      </c>
      <c r="BB111" s="10">
        <v>0</v>
      </c>
      <c r="BC111" s="10">
        <v>0</v>
      </c>
    </row>
    <row r="112" spans="1:55" s="13" customFormat="1" ht="63" x14ac:dyDescent="0.25">
      <c r="A112" s="12" t="s">
        <v>422</v>
      </c>
      <c r="B112" s="55" t="s">
        <v>363</v>
      </c>
      <c r="C112" s="39" t="s">
        <v>364</v>
      </c>
      <c r="D112" s="16">
        <v>2.21</v>
      </c>
      <c r="E112" s="10">
        <f t="shared" si="129"/>
        <v>2.97</v>
      </c>
      <c r="F112" s="10">
        <f t="shared" si="145"/>
        <v>0</v>
      </c>
      <c r="G112" s="10">
        <f t="shared" si="146"/>
        <v>2.97</v>
      </c>
      <c r="H112" s="10">
        <f t="shared" si="147"/>
        <v>0</v>
      </c>
      <c r="I112" s="10">
        <f t="shared" si="148"/>
        <v>0</v>
      </c>
      <c r="J112" s="10">
        <f t="shared" si="149"/>
        <v>0</v>
      </c>
      <c r="K112" s="10">
        <v>0</v>
      </c>
      <c r="L112" s="10">
        <v>0</v>
      </c>
      <c r="M112" s="10">
        <v>0</v>
      </c>
      <c r="N112" s="10">
        <v>0</v>
      </c>
      <c r="O112" s="10">
        <f t="shared" si="150"/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2.97</v>
      </c>
      <c r="Z112" s="10">
        <v>0</v>
      </c>
      <c r="AA112" s="10">
        <v>2.97</v>
      </c>
      <c r="AB112" s="10">
        <v>0</v>
      </c>
      <c r="AC112" s="10">
        <v>0</v>
      </c>
      <c r="AD112" s="19">
        <v>4.47</v>
      </c>
      <c r="AE112" s="10">
        <f t="shared" si="151"/>
        <v>5.0955274499999996</v>
      </c>
      <c r="AF112" s="10">
        <f t="shared" si="152"/>
        <v>0.38</v>
      </c>
      <c r="AG112" s="10">
        <f t="shared" si="153"/>
        <v>4.72</v>
      </c>
      <c r="AH112" s="10">
        <f t="shared" si="154"/>
        <v>0</v>
      </c>
      <c r="AI112" s="10">
        <f t="shared" si="155"/>
        <v>0</v>
      </c>
      <c r="AJ112" s="10">
        <f t="shared" si="156"/>
        <v>0</v>
      </c>
      <c r="AK112" s="10">
        <v>0</v>
      </c>
      <c r="AL112" s="10">
        <v>0</v>
      </c>
      <c r="AM112" s="10">
        <v>0</v>
      </c>
      <c r="AN112" s="10">
        <v>0</v>
      </c>
      <c r="AO112" s="10">
        <f t="shared" si="157"/>
        <v>0</v>
      </c>
      <c r="AP112" s="10">
        <v>0</v>
      </c>
      <c r="AQ112" s="10">
        <v>0</v>
      </c>
      <c r="AR112" s="10">
        <v>0</v>
      </c>
      <c r="AS112" s="10">
        <v>0</v>
      </c>
      <c r="AT112" s="10">
        <f t="shared" si="158"/>
        <v>0</v>
      </c>
      <c r="AU112" s="10">
        <v>0</v>
      </c>
      <c r="AV112" s="10">
        <v>0</v>
      </c>
      <c r="AW112" s="10">
        <v>0</v>
      </c>
      <c r="AX112" s="10">
        <v>0</v>
      </c>
      <c r="AY112" s="10">
        <v>5.0955274499999996</v>
      </c>
      <c r="AZ112" s="10">
        <v>0.38</v>
      </c>
      <c r="BA112" s="10">
        <v>4.72</v>
      </c>
      <c r="BB112" s="10">
        <v>0</v>
      </c>
      <c r="BC112" s="10">
        <v>0</v>
      </c>
    </row>
    <row r="113" spans="1:55" s="13" customFormat="1" ht="78.75" x14ac:dyDescent="0.25">
      <c r="A113" s="12" t="s">
        <v>423</v>
      </c>
      <c r="B113" s="56" t="s">
        <v>365</v>
      </c>
      <c r="C113" s="56" t="s">
        <v>366</v>
      </c>
      <c r="D113" s="16">
        <v>7.68</v>
      </c>
      <c r="E113" s="10">
        <f t="shared" si="129"/>
        <v>0</v>
      </c>
      <c r="F113" s="10">
        <f t="shared" si="145"/>
        <v>0</v>
      </c>
      <c r="G113" s="10">
        <f t="shared" si="146"/>
        <v>0</v>
      </c>
      <c r="H113" s="10">
        <f t="shared" si="147"/>
        <v>0</v>
      </c>
      <c r="I113" s="10">
        <f t="shared" si="148"/>
        <v>0</v>
      </c>
      <c r="J113" s="10">
        <f t="shared" si="149"/>
        <v>0</v>
      </c>
      <c r="K113" s="10">
        <v>0</v>
      </c>
      <c r="L113" s="10">
        <v>0</v>
      </c>
      <c r="M113" s="10">
        <v>0</v>
      </c>
      <c r="N113" s="10">
        <v>0</v>
      </c>
      <c r="O113" s="10">
        <f t="shared" si="150"/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9" t="s">
        <v>91</v>
      </c>
      <c r="AE113" s="10">
        <f t="shared" si="151"/>
        <v>0</v>
      </c>
      <c r="AF113" s="10">
        <f t="shared" si="152"/>
        <v>0</v>
      </c>
      <c r="AG113" s="10">
        <f t="shared" si="153"/>
        <v>0</v>
      </c>
      <c r="AH113" s="10">
        <f t="shared" si="154"/>
        <v>0</v>
      </c>
      <c r="AI113" s="10">
        <f t="shared" si="155"/>
        <v>0</v>
      </c>
      <c r="AJ113" s="10">
        <f t="shared" si="156"/>
        <v>0</v>
      </c>
      <c r="AK113" s="10">
        <v>0</v>
      </c>
      <c r="AL113" s="10">
        <v>0</v>
      </c>
      <c r="AM113" s="10">
        <v>0</v>
      </c>
      <c r="AN113" s="10">
        <v>0</v>
      </c>
      <c r="AO113" s="10">
        <f t="shared" si="157"/>
        <v>0</v>
      </c>
      <c r="AP113" s="10">
        <v>0</v>
      </c>
      <c r="AQ113" s="10">
        <v>0</v>
      </c>
      <c r="AR113" s="10">
        <v>0</v>
      </c>
      <c r="AS113" s="10">
        <v>0</v>
      </c>
      <c r="AT113" s="10">
        <f t="shared" si="158"/>
        <v>0</v>
      </c>
      <c r="AU113" s="10">
        <v>0</v>
      </c>
      <c r="AV113" s="10">
        <v>0</v>
      </c>
      <c r="AW113" s="10">
        <v>0</v>
      </c>
      <c r="AX113" s="10">
        <v>0</v>
      </c>
      <c r="AY113" s="10">
        <v>0</v>
      </c>
      <c r="AZ113" s="10">
        <v>0</v>
      </c>
      <c r="BA113" s="10">
        <v>0</v>
      </c>
      <c r="BB113" s="10">
        <v>0</v>
      </c>
      <c r="BC113" s="10">
        <v>0</v>
      </c>
    </row>
    <row r="114" spans="1:55" s="13" customFormat="1" ht="47.25" x14ac:dyDescent="0.25">
      <c r="A114" s="12" t="s">
        <v>149</v>
      </c>
      <c r="B114" s="56" t="s">
        <v>367</v>
      </c>
      <c r="C114" s="57" t="s">
        <v>368</v>
      </c>
      <c r="D114" s="16">
        <v>0.73</v>
      </c>
      <c r="E114" s="10">
        <f t="shared" si="129"/>
        <v>0</v>
      </c>
      <c r="F114" s="10">
        <f t="shared" si="145"/>
        <v>0</v>
      </c>
      <c r="G114" s="10">
        <f t="shared" si="146"/>
        <v>0</v>
      </c>
      <c r="H114" s="10">
        <f t="shared" si="147"/>
        <v>0</v>
      </c>
      <c r="I114" s="10">
        <f t="shared" si="148"/>
        <v>0</v>
      </c>
      <c r="J114" s="10">
        <f t="shared" si="149"/>
        <v>0</v>
      </c>
      <c r="K114" s="10">
        <v>0</v>
      </c>
      <c r="L114" s="10">
        <v>0</v>
      </c>
      <c r="M114" s="10">
        <v>0</v>
      </c>
      <c r="N114" s="10">
        <v>0</v>
      </c>
      <c r="O114" s="10">
        <f t="shared" si="150"/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9">
        <v>5.21</v>
      </c>
      <c r="AE114" s="10">
        <f t="shared" si="151"/>
        <v>0</v>
      </c>
      <c r="AF114" s="10">
        <f t="shared" si="152"/>
        <v>0</v>
      </c>
      <c r="AG114" s="10">
        <f t="shared" si="153"/>
        <v>0</v>
      </c>
      <c r="AH114" s="10">
        <f t="shared" si="154"/>
        <v>0</v>
      </c>
      <c r="AI114" s="10">
        <f t="shared" si="155"/>
        <v>0</v>
      </c>
      <c r="AJ114" s="10">
        <f t="shared" si="156"/>
        <v>0</v>
      </c>
      <c r="AK114" s="10">
        <v>0</v>
      </c>
      <c r="AL114" s="10">
        <v>0</v>
      </c>
      <c r="AM114" s="10">
        <v>0</v>
      </c>
      <c r="AN114" s="10">
        <v>0</v>
      </c>
      <c r="AO114" s="10">
        <f t="shared" si="157"/>
        <v>0</v>
      </c>
      <c r="AP114" s="10">
        <v>0</v>
      </c>
      <c r="AQ114" s="10">
        <v>0</v>
      </c>
      <c r="AR114" s="10">
        <v>0</v>
      </c>
      <c r="AS114" s="10">
        <v>0</v>
      </c>
      <c r="AT114" s="10">
        <f t="shared" si="158"/>
        <v>0</v>
      </c>
      <c r="AU114" s="10">
        <v>0</v>
      </c>
      <c r="AV114" s="10">
        <v>0</v>
      </c>
      <c r="AW114" s="10">
        <v>0</v>
      </c>
      <c r="AX114" s="10">
        <v>0</v>
      </c>
      <c r="AY114" s="10">
        <v>0</v>
      </c>
      <c r="AZ114" s="10">
        <v>0</v>
      </c>
      <c r="BA114" s="10">
        <v>0</v>
      </c>
      <c r="BB114" s="10">
        <v>0</v>
      </c>
      <c r="BC114" s="10">
        <v>0</v>
      </c>
    </row>
    <row r="115" spans="1:55" s="13" customFormat="1" ht="31.5" x14ac:dyDescent="0.25">
      <c r="A115" s="12" t="s">
        <v>150</v>
      </c>
      <c r="B115" s="58" t="s">
        <v>369</v>
      </c>
      <c r="C115" s="39" t="s">
        <v>370</v>
      </c>
      <c r="D115" s="16">
        <v>2.25</v>
      </c>
      <c r="E115" s="10">
        <f t="shared" si="129"/>
        <v>0</v>
      </c>
      <c r="F115" s="10">
        <f t="shared" si="145"/>
        <v>0</v>
      </c>
      <c r="G115" s="10">
        <f t="shared" si="146"/>
        <v>0</v>
      </c>
      <c r="H115" s="10">
        <f t="shared" si="147"/>
        <v>0</v>
      </c>
      <c r="I115" s="10">
        <f t="shared" si="148"/>
        <v>0</v>
      </c>
      <c r="J115" s="10">
        <f t="shared" si="149"/>
        <v>0</v>
      </c>
      <c r="K115" s="10">
        <v>0</v>
      </c>
      <c r="L115" s="10">
        <v>0</v>
      </c>
      <c r="M115" s="10">
        <v>0</v>
      </c>
      <c r="N115" s="10">
        <v>0</v>
      </c>
      <c r="O115" s="10">
        <f t="shared" si="150"/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9">
        <v>1.88</v>
      </c>
      <c r="AE115" s="10">
        <f t="shared" si="151"/>
        <v>0</v>
      </c>
      <c r="AF115" s="10">
        <f t="shared" si="152"/>
        <v>0</v>
      </c>
      <c r="AG115" s="10">
        <f t="shared" si="153"/>
        <v>0</v>
      </c>
      <c r="AH115" s="10">
        <f t="shared" si="154"/>
        <v>0</v>
      </c>
      <c r="AI115" s="10">
        <f t="shared" si="155"/>
        <v>0</v>
      </c>
      <c r="AJ115" s="10">
        <f t="shared" si="156"/>
        <v>0</v>
      </c>
      <c r="AK115" s="10">
        <v>0</v>
      </c>
      <c r="AL115" s="10">
        <v>0</v>
      </c>
      <c r="AM115" s="10">
        <v>0</v>
      </c>
      <c r="AN115" s="10">
        <v>0</v>
      </c>
      <c r="AO115" s="10">
        <f t="shared" si="157"/>
        <v>0</v>
      </c>
      <c r="AP115" s="10">
        <v>0</v>
      </c>
      <c r="AQ115" s="10">
        <v>0</v>
      </c>
      <c r="AR115" s="10">
        <v>0</v>
      </c>
      <c r="AS115" s="10">
        <v>0</v>
      </c>
      <c r="AT115" s="10">
        <f t="shared" si="158"/>
        <v>0</v>
      </c>
      <c r="AU115" s="10">
        <v>0</v>
      </c>
      <c r="AV115" s="10">
        <v>0</v>
      </c>
      <c r="AW115" s="10">
        <v>0</v>
      </c>
      <c r="AX115" s="10">
        <v>0</v>
      </c>
      <c r="AY115" s="10">
        <v>0</v>
      </c>
      <c r="AZ115" s="10">
        <v>0</v>
      </c>
      <c r="BA115" s="10">
        <v>0</v>
      </c>
      <c r="BB115" s="10">
        <v>0</v>
      </c>
      <c r="BC115" s="10">
        <v>0</v>
      </c>
    </row>
    <row r="116" spans="1:55" s="13" customFormat="1" ht="47.25" x14ac:dyDescent="0.25">
      <c r="A116" s="12" t="s">
        <v>151</v>
      </c>
      <c r="B116" s="59" t="s">
        <v>371</v>
      </c>
      <c r="C116" s="59" t="s">
        <v>372</v>
      </c>
      <c r="D116" s="16">
        <v>1.64</v>
      </c>
      <c r="E116" s="10">
        <f t="shared" si="129"/>
        <v>1.415</v>
      </c>
      <c r="F116" s="10">
        <f t="shared" si="145"/>
        <v>0.14760000000000001</v>
      </c>
      <c r="G116" s="10">
        <f t="shared" si="146"/>
        <v>0.39960000000000001</v>
      </c>
      <c r="H116" s="10">
        <f t="shared" si="147"/>
        <v>0.87119999999999997</v>
      </c>
      <c r="I116" s="10">
        <f t="shared" si="148"/>
        <v>0</v>
      </c>
      <c r="J116" s="10">
        <f t="shared" si="149"/>
        <v>0</v>
      </c>
      <c r="K116" s="10">
        <v>0</v>
      </c>
      <c r="L116" s="10">
        <v>0</v>
      </c>
      <c r="M116" s="10">
        <v>0</v>
      </c>
      <c r="N116" s="10">
        <v>0</v>
      </c>
      <c r="O116" s="10">
        <f t="shared" si="150"/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1.415</v>
      </c>
      <c r="Z116" s="10">
        <v>0.14760000000000001</v>
      </c>
      <c r="AA116" s="10">
        <v>0.39960000000000001</v>
      </c>
      <c r="AB116" s="10">
        <v>0.87119999999999997</v>
      </c>
      <c r="AC116" s="10">
        <v>0</v>
      </c>
      <c r="AD116" s="19">
        <v>1.37</v>
      </c>
      <c r="AE116" s="10">
        <f t="shared" si="151"/>
        <v>1.1835682000000001</v>
      </c>
      <c r="AF116" s="10">
        <f t="shared" si="152"/>
        <v>0.123</v>
      </c>
      <c r="AG116" s="10">
        <f t="shared" si="153"/>
        <v>0.33300000000000002</v>
      </c>
      <c r="AH116" s="10">
        <f t="shared" si="154"/>
        <v>0.72689999999999999</v>
      </c>
      <c r="AI116" s="10">
        <f t="shared" si="155"/>
        <v>0</v>
      </c>
      <c r="AJ116" s="10">
        <f t="shared" si="156"/>
        <v>0</v>
      </c>
      <c r="AK116" s="10">
        <v>0</v>
      </c>
      <c r="AL116" s="10">
        <v>0</v>
      </c>
      <c r="AM116" s="10">
        <v>0</v>
      </c>
      <c r="AN116" s="10">
        <v>0</v>
      </c>
      <c r="AO116" s="10">
        <f t="shared" si="157"/>
        <v>0</v>
      </c>
      <c r="AP116" s="10">
        <v>0</v>
      </c>
      <c r="AQ116" s="10">
        <v>0</v>
      </c>
      <c r="AR116" s="10">
        <v>0</v>
      </c>
      <c r="AS116" s="10">
        <v>0</v>
      </c>
      <c r="AT116" s="10">
        <f t="shared" si="158"/>
        <v>0</v>
      </c>
      <c r="AU116" s="10">
        <v>0</v>
      </c>
      <c r="AV116" s="10">
        <v>0</v>
      </c>
      <c r="AW116" s="10">
        <v>0</v>
      </c>
      <c r="AX116" s="10">
        <v>0</v>
      </c>
      <c r="AY116" s="10">
        <v>1.1835682000000001</v>
      </c>
      <c r="AZ116" s="10">
        <v>0.123</v>
      </c>
      <c r="BA116" s="10">
        <v>0.33300000000000002</v>
      </c>
      <c r="BB116" s="10">
        <v>0.72689999999999999</v>
      </c>
      <c r="BC116" s="10">
        <v>0</v>
      </c>
    </row>
    <row r="117" spans="1:55" s="13" customFormat="1" ht="94.5" x14ac:dyDescent="0.25">
      <c r="A117" s="12" t="s">
        <v>152</v>
      </c>
      <c r="B117" s="59" t="s">
        <v>373</v>
      </c>
      <c r="C117" s="59" t="s">
        <v>374</v>
      </c>
      <c r="D117" s="16">
        <v>6.45</v>
      </c>
      <c r="E117" s="10">
        <f t="shared" si="129"/>
        <v>0</v>
      </c>
      <c r="F117" s="10">
        <f t="shared" si="145"/>
        <v>0</v>
      </c>
      <c r="G117" s="10">
        <f t="shared" si="146"/>
        <v>0</v>
      </c>
      <c r="H117" s="10">
        <f t="shared" si="147"/>
        <v>0</v>
      </c>
      <c r="I117" s="10">
        <f t="shared" si="148"/>
        <v>0</v>
      </c>
      <c r="J117" s="10">
        <f t="shared" si="149"/>
        <v>0</v>
      </c>
      <c r="K117" s="10">
        <v>0</v>
      </c>
      <c r="L117" s="10">
        <v>0</v>
      </c>
      <c r="M117" s="10">
        <v>0</v>
      </c>
      <c r="N117" s="10">
        <v>0</v>
      </c>
      <c r="O117" s="10">
        <f t="shared" si="150"/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9">
        <v>5.38</v>
      </c>
      <c r="AE117" s="10">
        <f t="shared" si="151"/>
        <v>0</v>
      </c>
      <c r="AF117" s="10">
        <f t="shared" si="152"/>
        <v>0</v>
      </c>
      <c r="AG117" s="10">
        <f t="shared" si="153"/>
        <v>0</v>
      </c>
      <c r="AH117" s="10">
        <f t="shared" si="154"/>
        <v>0</v>
      </c>
      <c r="AI117" s="10">
        <f t="shared" si="155"/>
        <v>0</v>
      </c>
      <c r="AJ117" s="10">
        <f t="shared" si="156"/>
        <v>0</v>
      </c>
      <c r="AK117" s="10">
        <v>0</v>
      </c>
      <c r="AL117" s="10">
        <v>0</v>
      </c>
      <c r="AM117" s="10">
        <v>0</v>
      </c>
      <c r="AN117" s="10">
        <v>0</v>
      </c>
      <c r="AO117" s="10">
        <f t="shared" si="157"/>
        <v>0</v>
      </c>
      <c r="AP117" s="10">
        <v>0</v>
      </c>
      <c r="AQ117" s="10">
        <v>0</v>
      </c>
      <c r="AR117" s="10">
        <v>0</v>
      </c>
      <c r="AS117" s="10">
        <v>0</v>
      </c>
      <c r="AT117" s="10">
        <f t="shared" si="158"/>
        <v>0</v>
      </c>
      <c r="AU117" s="10">
        <v>0</v>
      </c>
      <c r="AV117" s="10">
        <v>0</v>
      </c>
      <c r="AW117" s="10">
        <v>0</v>
      </c>
      <c r="AX117" s="10">
        <v>0</v>
      </c>
      <c r="AY117" s="10">
        <v>0</v>
      </c>
      <c r="AZ117" s="10">
        <v>0</v>
      </c>
      <c r="BA117" s="10">
        <v>0</v>
      </c>
      <c r="BB117" s="10">
        <v>0</v>
      </c>
      <c r="BC117" s="10">
        <v>0</v>
      </c>
    </row>
    <row r="118" spans="1:55" s="13" customFormat="1" ht="47.25" x14ac:dyDescent="0.25">
      <c r="A118" s="12" t="s">
        <v>424</v>
      </c>
      <c r="B118" s="40" t="s">
        <v>381</v>
      </c>
      <c r="C118" s="12" t="s">
        <v>382</v>
      </c>
      <c r="D118" s="16" t="s">
        <v>91</v>
      </c>
      <c r="E118" s="10">
        <f t="shared" si="129"/>
        <v>0.57999999999999996</v>
      </c>
      <c r="F118" s="10">
        <f t="shared" ref="F118" si="159">K118+P118+U118+Z118</f>
        <v>0.13400000000000001</v>
      </c>
      <c r="G118" s="10">
        <f t="shared" ref="G118" si="160">L118+Q118+V118+AA118</f>
        <v>0.372</v>
      </c>
      <c r="H118" s="10">
        <f t="shared" ref="H118" si="161">M118+R118+W118+AB118</f>
        <v>0</v>
      </c>
      <c r="I118" s="10">
        <f t="shared" ref="I118" si="162">N118+S118+X118+AC118</f>
        <v>7.1999999999999995E-2</v>
      </c>
      <c r="J118" s="10">
        <f t="shared" ref="J118" si="163">SUM(K118:N118)</f>
        <v>0</v>
      </c>
      <c r="K118" s="10">
        <v>0</v>
      </c>
      <c r="L118" s="10">
        <v>0</v>
      </c>
      <c r="M118" s="10">
        <v>0</v>
      </c>
      <c r="N118" s="10">
        <v>0</v>
      </c>
      <c r="O118" s="10">
        <f t="shared" ref="O118" si="164">SUM(P118:S118)</f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0.57999999999999996</v>
      </c>
      <c r="Z118" s="10">
        <v>0.13400000000000001</v>
      </c>
      <c r="AA118" s="10">
        <v>0.372</v>
      </c>
      <c r="AB118" s="10">
        <v>0</v>
      </c>
      <c r="AC118" s="10">
        <v>7.1999999999999995E-2</v>
      </c>
      <c r="AD118" s="19" t="s">
        <v>91</v>
      </c>
      <c r="AE118" s="10">
        <f t="shared" ref="AE118" si="165">AJ118+AO118+AT118+AY118</f>
        <v>0.48095064999999998</v>
      </c>
      <c r="AF118" s="10">
        <f t="shared" ref="AF118" si="166">AK118+AP118+AU118+AZ118</f>
        <v>0.112</v>
      </c>
      <c r="AG118" s="10">
        <f t="shared" ref="AG118" si="167">AL118+AQ118+AV118+BA118</f>
        <v>0.31</v>
      </c>
      <c r="AH118" s="10">
        <f t="shared" ref="AH118" si="168">AM118+AR118+AW118+BB118</f>
        <v>0</v>
      </c>
      <c r="AI118" s="10">
        <f t="shared" ref="AI118" si="169">AN118+AS118+AX118+BC118</f>
        <v>6.2E-2</v>
      </c>
      <c r="AJ118" s="10">
        <f t="shared" ref="AJ118" si="170">SUM(AK118:AN118)</f>
        <v>0</v>
      </c>
      <c r="AK118" s="10">
        <v>0</v>
      </c>
      <c r="AL118" s="10">
        <v>0</v>
      </c>
      <c r="AM118" s="10">
        <v>0</v>
      </c>
      <c r="AN118" s="10">
        <v>0</v>
      </c>
      <c r="AO118" s="10">
        <f t="shared" ref="AO118" si="171">SUM(AP118:AS118)</f>
        <v>0</v>
      </c>
      <c r="AP118" s="10">
        <v>0</v>
      </c>
      <c r="AQ118" s="10">
        <v>0</v>
      </c>
      <c r="AR118" s="10">
        <v>0</v>
      </c>
      <c r="AS118" s="10">
        <v>0</v>
      </c>
      <c r="AT118" s="10">
        <f t="shared" ref="AT118" si="172">SUM(AU118:AX118)</f>
        <v>0</v>
      </c>
      <c r="AU118" s="10">
        <v>0</v>
      </c>
      <c r="AV118" s="10">
        <v>0</v>
      </c>
      <c r="AW118" s="10">
        <v>0</v>
      </c>
      <c r="AX118" s="10">
        <v>0</v>
      </c>
      <c r="AY118" s="10">
        <v>0.48095064999999998</v>
      </c>
      <c r="AZ118" s="10">
        <v>0.112</v>
      </c>
      <c r="BA118" s="10">
        <v>0.31</v>
      </c>
      <c r="BB118" s="10">
        <v>0</v>
      </c>
      <c r="BC118" s="10">
        <v>6.2E-2</v>
      </c>
    </row>
    <row r="119" spans="1:55" s="13" customFormat="1" ht="31.5" x14ac:dyDescent="0.25">
      <c r="A119" s="12" t="s">
        <v>153</v>
      </c>
      <c r="B119" s="60" t="s">
        <v>330</v>
      </c>
      <c r="C119" s="12" t="s">
        <v>331</v>
      </c>
      <c r="D119" s="16">
        <v>1.18</v>
      </c>
      <c r="E119" s="10">
        <f t="shared" si="129"/>
        <v>1.1690970840000001</v>
      </c>
      <c r="F119" s="10">
        <f t="shared" si="130"/>
        <v>0</v>
      </c>
      <c r="G119" s="10">
        <f t="shared" si="131"/>
        <v>0.96149708400000011</v>
      </c>
      <c r="H119" s="10">
        <f t="shared" si="132"/>
        <v>0</v>
      </c>
      <c r="I119" s="10">
        <f t="shared" si="133"/>
        <v>0.20399999999999999</v>
      </c>
      <c r="J119" s="10">
        <f t="shared" ref="J119:J120" si="173">SUM(K119:N119)</f>
        <v>0</v>
      </c>
      <c r="K119" s="10">
        <v>0</v>
      </c>
      <c r="L119" s="10">
        <v>0</v>
      </c>
      <c r="M119" s="10">
        <v>0</v>
      </c>
      <c r="N119" s="10">
        <v>0</v>
      </c>
      <c r="O119" s="10">
        <f t="shared" si="135"/>
        <v>0</v>
      </c>
      <c r="P119" s="10">
        <v>0</v>
      </c>
      <c r="Q119" s="10">
        <v>0</v>
      </c>
      <c r="R119" s="10">
        <v>0</v>
      </c>
      <c r="S119" s="10">
        <v>0</v>
      </c>
      <c r="T119" s="15">
        <f t="shared" si="136"/>
        <v>0.56909708400000003</v>
      </c>
      <c r="U119" s="15">
        <v>0</v>
      </c>
      <c r="V119" s="10">
        <v>0.56909708400000003</v>
      </c>
      <c r="W119" s="10">
        <v>0</v>
      </c>
      <c r="X119" s="10">
        <v>0</v>
      </c>
      <c r="Y119" s="17">
        <v>0.6</v>
      </c>
      <c r="Z119" s="10">
        <v>0</v>
      </c>
      <c r="AA119" s="10">
        <v>0.39240000000000003</v>
      </c>
      <c r="AB119" s="10">
        <v>0</v>
      </c>
      <c r="AC119" s="10">
        <v>0.20399999999999999</v>
      </c>
      <c r="AD119" s="19">
        <v>0.98</v>
      </c>
      <c r="AE119" s="10">
        <f t="shared" si="137"/>
        <v>0.87498654000000009</v>
      </c>
      <c r="AF119" s="10">
        <f t="shared" si="138"/>
        <v>0</v>
      </c>
      <c r="AG119" s="10">
        <f t="shared" si="139"/>
        <v>0.70414756999999994</v>
      </c>
      <c r="AH119" s="10">
        <f t="shared" si="140"/>
        <v>0</v>
      </c>
      <c r="AI119" s="10">
        <f t="shared" si="141"/>
        <v>0.17</v>
      </c>
      <c r="AJ119" s="10">
        <f t="shared" ref="AJ119:AJ120" si="174">SUM(AK119:AN119)</f>
        <v>0</v>
      </c>
      <c r="AK119" s="10">
        <v>0</v>
      </c>
      <c r="AL119" s="10">
        <v>0</v>
      </c>
      <c r="AM119" s="10">
        <v>0</v>
      </c>
      <c r="AN119" s="10">
        <v>0</v>
      </c>
      <c r="AO119" s="10">
        <f t="shared" si="143"/>
        <v>0</v>
      </c>
      <c r="AP119" s="10">
        <v>0</v>
      </c>
      <c r="AQ119" s="10">
        <v>0</v>
      </c>
      <c r="AR119" s="10">
        <v>0</v>
      </c>
      <c r="AS119" s="10">
        <v>0</v>
      </c>
      <c r="AT119" s="10">
        <f t="shared" si="144"/>
        <v>0.47424757000000001</v>
      </c>
      <c r="AU119" s="10">
        <v>0</v>
      </c>
      <c r="AV119" s="10">
        <v>0.47424757000000001</v>
      </c>
      <c r="AW119" s="10">
        <v>0</v>
      </c>
      <c r="AX119" s="10">
        <v>0</v>
      </c>
      <c r="AY119" s="10">
        <v>0.40073897000000003</v>
      </c>
      <c r="AZ119" s="10">
        <v>0</v>
      </c>
      <c r="BA119" s="10">
        <v>0.22989999999999999</v>
      </c>
      <c r="BB119" s="10">
        <v>0</v>
      </c>
      <c r="BC119" s="10">
        <v>0.17</v>
      </c>
    </row>
    <row r="120" spans="1:55" s="13" customFormat="1" ht="126" x14ac:dyDescent="0.25">
      <c r="A120" s="12" t="s">
        <v>154</v>
      </c>
      <c r="B120" s="60" t="s">
        <v>332</v>
      </c>
      <c r="C120" s="12" t="s">
        <v>333</v>
      </c>
      <c r="D120" s="16" t="s">
        <v>91</v>
      </c>
      <c r="E120" s="10">
        <f t="shared" si="129"/>
        <v>2.4283720680000003</v>
      </c>
      <c r="F120" s="10">
        <f t="shared" si="130"/>
        <v>0</v>
      </c>
      <c r="G120" s="10">
        <f t="shared" si="131"/>
        <v>2.3683720680000002</v>
      </c>
      <c r="H120" s="10">
        <f t="shared" si="132"/>
        <v>0</v>
      </c>
      <c r="I120" s="10">
        <f t="shared" si="133"/>
        <v>6.3E-2</v>
      </c>
      <c r="J120" s="10">
        <f t="shared" si="173"/>
        <v>0</v>
      </c>
      <c r="K120" s="10">
        <v>0</v>
      </c>
      <c r="L120" s="10">
        <v>0</v>
      </c>
      <c r="M120" s="10">
        <v>0</v>
      </c>
      <c r="N120" s="10">
        <v>0</v>
      </c>
      <c r="O120" s="10">
        <f t="shared" si="135"/>
        <v>0</v>
      </c>
      <c r="P120" s="10">
        <v>0</v>
      </c>
      <c r="Q120" s="10">
        <v>0</v>
      </c>
      <c r="R120" s="10">
        <v>0</v>
      </c>
      <c r="S120" s="10">
        <v>0</v>
      </c>
      <c r="T120" s="15">
        <f t="shared" si="136"/>
        <v>2.3683720680000002</v>
      </c>
      <c r="U120" s="15">
        <v>0</v>
      </c>
      <c r="V120" s="10">
        <v>2.3683720680000002</v>
      </c>
      <c r="W120" s="10">
        <v>0</v>
      </c>
      <c r="X120" s="10">
        <v>0</v>
      </c>
      <c r="Y120" s="17">
        <v>0.06</v>
      </c>
      <c r="Z120" s="10">
        <v>0</v>
      </c>
      <c r="AA120" s="10">
        <v>0</v>
      </c>
      <c r="AB120" s="10">
        <v>0</v>
      </c>
      <c r="AC120" s="10">
        <v>6.3E-2</v>
      </c>
      <c r="AD120" s="19" t="s">
        <v>91</v>
      </c>
      <c r="AE120" s="10">
        <f t="shared" si="137"/>
        <v>2.0261433900000001</v>
      </c>
      <c r="AF120" s="10">
        <f t="shared" si="138"/>
        <v>0</v>
      </c>
      <c r="AG120" s="10">
        <f t="shared" si="139"/>
        <v>1.9736433900000001</v>
      </c>
      <c r="AH120" s="10">
        <f t="shared" si="140"/>
        <v>0</v>
      </c>
      <c r="AI120" s="10">
        <f t="shared" si="141"/>
        <v>0.05</v>
      </c>
      <c r="AJ120" s="10">
        <f t="shared" si="174"/>
        <v>0</v>
      </c>
      <c r="AK120" s="10">
        <v>0</v>
      </c>
      <c r="AL120" s="10">
        <v>0</v>
      </c>
      <c r="AM120" s="10">
        <v>0</v>
      </c>
      <c r="AN120" s="10">
        <v>0</v>
      </c>
      <c r="AO120" s="10">
        <f t="shared" si="143"/>
        <v>0</v>
      </c>
      <c r="AP120" s="10">
        <v>0</v>
      </c>
      <c r="AQ120" s="10">
        <v>0</v>
      </c>
      <c r="AR120" s="10">
        <v>0</v>
      </c>
      <c r="AS120" s="10">
        <v>0</v>
      </c>
      <c r="AT120" s="10">
        <f t="shared" si="144"/>
        <v>1.9736433900000001</v>
      </c>
      <c r="AU120" s="10">
        <v>0</v>
      </c>
      <c r="AV120" s="10">
        <v>1.9736433900000001</v>
      </c>
      <c r="AW120" s="10">
        <v>0</v>
      </c>
      <c r="AX120" s="10">
        <v>0</v>
      </c>
      <c r="AY120" s="10">
        <v>5.2499999999999998E-2</v>
      </c>
      <c r="AZ120" s="10">
        <v>0</v>
      </c>
      <c r="BA120" s="10">
        <v>0</v>
      </c>
      <c r="BB120" s="10">
        <v>0</v>
      </c>
      <c r="BC120" s="10">
        <v>0.05</v>
      </c>
    </row>
    <row r="121" spans="1:55" s="13" customFormat="1" ht="47.25" x14ac:dyDescent="0.25">
      <c r="A121" s="12" t="s">
        <v>155</v>
      </c>
      <c r="B121" s="60" t="s">
        <v>306</v>
      </c>
      <c r="C121" s="12" t="s">
        <v>307</v>
      </c>
      <c r="D121" s="16">
        <v>0.8</v>
      </c>
      <c r="E121" s="10">
        <f t="shared" ref="E121:I124" si="175">J121+O121+T121+Y121</f>
        <v>0.116536</v>
      </c>
      <c r="F121" s="10">
        <f t="shared" si="175"/>
        <v>2.2536E-2</v>
      </c>
      <c r="G121" s="10">
        <f t="shared" si="175"/>
        <v>0.09</v>
      </c>
      <c r="H121" s="10">
        <f t="shared" si="175"/>
        <v>0</v>
      </c>
      <c r="I121" s="10">
        <f t="shared" si="175"/>
        <v>0</v>
      </c>
      <c r="J121" s="10">
        <f t="shared" si="134"/>
        <v>0</v>
      </c>
      <c r="K121" s="10">
        <v>0</v>
      </c>
      <c r="L121" s="10">
        <v>0</v>
      </c>
      <c r="M121" s="10">
        <v>0</v>
      </c>
      <c r="N121" s="10">
        <v>0</v>
      </c>
      <c r="O121" s="10">
        <f>SUM(P121:S121)</f>
        <v>2.2536E-2</v>
      </c>
      <c r="P121" s="10">
        <f>0.01878*1.2</f>
        <v>2.2536E-2</v>
      </c>
      <c r="Q121" s="10">
        <v>0</v>
      </c>
      <c r="R121" s="10">
        <v>0</v>
      </c>
      <c r="S121" s="10">
        <v>0</v>
      </c>
      <c r="T121" s="15">
        <f>SUM(U121:X121)</f>
        <v>0</v>
      </c>
      <c r="U121" s="15">
        <v>0</v>
      </c>
      <c r="V121" s="10">
        <v>0</v>
      </c>
      <c r="W121" s="10">
        <v>0</v>
      </c>
      <c r="X121" s="10">
        <v>0</v>
      </c>
      <c r="Y121" s="17">
        <v>9.4E-2</v>
      </c>
      <c r="Z121" s="10">
        <v>0</v>
      </c>
      <c r="AA121" s="10">
        <v>0.09</v>
      </c>
      <c r="AB121" s="10">
        <v>0</v>
      </c>
      <c r="AC121" s="10">
        <v>0</v>
      </c>
      <c r="AD121" s="19">
        <v>0.66</v>
      </c>
      <c r="AE121" s="10">
        <f t="shared" ref="AE121:AI124" si="176">AJ121+AO121+AT121+AY121</f>
        <v>9.7440369999999998E-2</v>
      </c>
      <c r="AF121" s="10">
        <f t="shared" si="176"/>
        <v>1.8780000000000002E-2</v>
      </c>
      <c r="AG121" s="10">
        <f t="shared" si="176"/>
        <v>7.8660369999999993E-2</v>
      </c>
      <c r="AH121" s="10">
        <f t="shared" si="176"/>
        <v>0</v>
      </c>
      <c r="AI121" s="10">
        <f t="shared" si="176"/>
        <v>0</v>
      </c>
      <c r="AJ121" s="10">
        <f t="shared" si="142"/>
        <v>0</v>
      </c>
      <c r="AK121" s="10">
        <v>0</v>
      </c>
      <c r="AL121" s="10">
        <v>0</v>
      </c>
      <c r="AM121" s="10">
        <v>0</v>
      </c>
      <c r="AN121" s="10">
        <v>0</v>
      </c>
      <c r="AO121" s="10">
        <f>SUM(AP121:AS121)</f>
        <v>1.8780000000000002E-2</v>
      </c>
      <c r="AP121" s="10">
        <v>1.8780000000000002E-2</v>
      </c>
      <c r="AQ121" s="10">
        <v>0</v>
      </c>
      <c r="AR121" s="10">
        <v>0</v>
      </c>
      <c r="AS121" s="10">
        <v>0</v>
      </c>
      <c r="AT121" s="10">
        <f>SUM(AU121:AX121)</f>
        <v>0</v>
      </c>
      <c r="AU121" s="10">
        <v>0</v>
      </c>
      <c r="AV121" s="10">
        <v>0</v>
      </c>
      <c r="AW121" s="10">
        <v>0</v>
      </c>
      <c r="AX121" s="10">
        <v>0</v>
      </c>
      <c r="AY121" s="10">
        <v>7.8660369999999993E-2</v>
      </c>
      <c r="AZ121" s="10">
        <v>0</v>
      </c>
      <c r="BA121" s="10">
        <v>7.8660369999999993E-2</v>
      </c>
      <c r="BB121" s="10">
        <v>0</v>
      </c>
      <c r="BC121" s="10">
        <v>0</v>
      </c>
    </row>
    <row r="122" spans="1:55" s="13" customFormat="1" ht="47.25" x14ac:dyDescent="0.25">
      <c r="A122" s="12" t="s">
        <v>156</v>
      </c>
      <c r="B122" s="60" t="s">
        <v>308</v>
      </c>
      <c r="C122" s="12" t="s">
        <v>309</v>
      </c>
      <c r="D122" s="16">
        <v>3.2</v>
      </c>
      <c r="E122" s="10">
        <f t="shared" si="175"/>
        <v>1.329888</v>
      </c>
      <c r="F122" s="10">
        <f t="shared" si="175"/>
        <v>0.159888</v>
      </c>
      <c r="G122" s="10">
        <f t="shared" si="175"/>
        <v>1.17</v>
      </c>
      <c r="H122" s="10">
        <f t="shared" si="175"/>
        <v>0</v>
      </c>
      <c r="I122" s="10">
        <f t="shared" si="175"/>
        <v>0</v>
      </c>
      <c r="J122" s="10">
        <f t="shared" si="134"/>
        <v>0</v>
      </c>
      <c r="K122" s="10">
        <v>0</v>
      </c>
      <c r="L122" s="10">
        <v>0</v>
      </c>
      <c r="M122" s="10">
        <v>0</v>
      </c>
      <c r="N122" s="10">
        <v>0</v>
      </c>
      <c r="O122" s="10">
        <f>SUM(P122:S122)</f>
        <v>0.159888</v>
      </c>
      <c r="P122" s="10">
        <f>0.13324*1.2</f>
        <v>0.159888</v>
      </c>
      <c r="Q122" s="10">
        <v>0</v>
      </c>
      <c r="R122" s="10">
        <v>0</v>
      </c>
      <c r="S122" s="10">
        <v>0</v>
      </c>
      <c r="T122" s="15">
        <f>SUM(U122:X122)</f>
        <v>0</v>
      </c>
      <c r="U122" s="15">
        <v>0</v>
      </c>
      <c r="V122" s="10">
        <v>0</v>
      </c>
      <c r="W122" s="10">
        <v>0</v>
      </c>
      <c r="X122" s="10">
        <v>0</v>
      </c>
      <c r="Y122" s="17">
        <v>1.17</v>
      </c>
      <c r="Z122" s="10">
        <v>0</v>
      </c>
      <c r="AA122" s="10">
        <v>1.17</v>
      </c>
      <c r="AB122" s="10">
        <v>0</v>
      </c>
      <c r="AC122" s="10">
        <v>0</v>
      </c>
      <c r="AD122" s="19">
        <v>2.66</v>
      </c>
      <c r="AE122" s="10">
        <f t="shared" si="176"/>
        <v>1.1080856100000001</v>
      </c>
      <c r="AF122" s="10">
        <f t="shared" si="176"/>
        <v>0.13324</v>
      </c>
      <c r="AG122" s="10">
        <f t="shared" si="176"/>
        <v>0.97484561000000003</v>
      </c>
      <c r="AH122" s="10">
        <f t="shared" si="176"/>
        <v>0</v>
      </c>
      <c r="AI122" s="10">
        <f t="shared" si="176"/>
        <v>0</v>
      </c>
      <c r="AJ122" s="10">
        <f t="shared" si="142"/>
        <v>0</v>
      </c>
      <c r="AK122" s="10">
        <v>0</v>
      </c>
      <c r="AL122" s="10">
        <v>0</v>
      </c>
      <c r="AM122" s="10">
        <v>0</v>
      </c>
      <c r="AN122" s="10">
        <v>0</v>
      </c>
      <c r="AO122" s="10">
        <f>SUM(AP122:AS122)</f>
        <v>0.13324</v>
      </c>
      <c r="AP122" s="10">
        <v>0.13324</v>
      </c>
      <c r="AQ122" s="10">
        <v>0</v>
      </c>
      <c r="AR122" s="10">
        <v>0</v>
      </c>
      <c r="AS122" s="10">
        <v>0</v>
      </c>
      <c r="AT122" s="10">
        <f>SUM(AU122:AX122)</f>
        <v>0</v>
      </c>
      <c r="AU122" s="10">
        <v>0</v>
      </c>
      <c r="AV122" s="10">
        <v>0</v>
      </c>
      <c r="AW122" s="10">
        <v>0</v>
      </c>
      <c r="AX122" s="10">
        <v>0</v>
      </c>
      <c r="AY122" s="10">
        <v>0.97484561000000003</v>
      </c>
      <c r="AZ122" s="10">
        <v>0</v>
      </c>
      <c r="BA122" s="10">
        <v>0.97484561000000003</v>
      </c>
      <c r="BB122" s="10">
        <v>0</v>
      </c>
      <c r="BC122" s="10">
        <v>0</v>
      </c>
    </row>
    <row r="123" spans="1:55" s="13" customFormat="1" ht="78.75" x14ac:dyDescent="0.25">
      <c r="A123" s="12" t="s">
        <v>157</v>
      </c>
      <c r="B123" s="37" t="s">
        <v>310</v>
      </c>
      <c r="C123" s="12" t="s">
        <v>311</v>
      </c>
      <c r="D123" s="16">
        <v>1.8099999999999998</v>
      </c>
      <c r="E123" s="10">
        <f t="shared" si="175"/>
        <v>1.4404052359999999</v>
      </c>
      <c r="F123" s="10">
        <f t="shared" si="175"/>
        <v>0.18110399999999999</v>
      </c>
      <c r="G123" s="10">
        <f t="shared" si="175"/>
        <v>1.239301236</v>
      </c>
      <c r="H123" s="10">
        <f t="shared" si="175"/>
        <v>0</v>
      </c>
      <c r="I123" s="10">
        <f t="shared" si="175"/>
        <v>0.02</v>
      </c>
      <c r="J123" s="10">
        <f t="shared" si="134"/>
        <v>0</v>
      </c>
      <c r="K123" s="10">
        <v>0</v>
      </c>
      <c r="L123" s="10">
        <v>0</v>
      </c>
      <c r="M123" s="10">
        <v>0</v>
      </c>
      <c r="N123" s="10">
        <v>0</v>
      </c>
      <c r="O123" s="10">
        <f>SUM(P123:S123)</f>
        <v>0.18110399999999999</v>
      </c>
      <c r="P123" s="10">
        <f>0.15092*1.2</f>
        <v>0.18110399999999999</v>
      </c>
      <c r="Q123" s="10">
        <v>0</v>
      </c>
      <c r="R123" s="10">
        <v>0</v>
      </c>
      <c r="S123" s="10">
        <v>0</v>
      </c>
      <c r="T123" s="15">
        <f>SUM(U123:X123)</f>
        <v>1.239301236</v>
      </c>
      <c r="U123" s="15">
        <v>0</v>
      </c>
      <c r="V123" s="10">
        <v>1.239301236</v>
      </c>
      <c r="W123" s="10">
        <v>0</v>
      </c>
      <c r="X123" s="10">
        <v>0</v>
      </c>
      <c r="Y123" s="17">
        <v>0.02</v>
      </c>
      <c r="Z123" s="10">
        <v>0</v>
      </c>
      <c r="AA123" s="10">
        <v>0</v>
      </c>
      <c r="AB123" s="10">
        <v>0</v>
      </c>
      <c r="AC123" s="10">
        <v>0.02</v>
      </c>
      <c r="AD123" s="19">
        <v>1.51</v>
      </c>
      <c r="AE123" s="10">
        <f t="shared" si="176"/>
        <v>1.1986710299999999</v>
      </c>
      <c r="AF123" s="10">
        <f t="shared" si="176"/>
        <v>0.15092</v>
      </c>
      <c r="AG123" s="10">
        <f t="shared" si="176"/>
        <v>1.03275103</v>
      </c>
      <c r="AH123" s="10">
        <f t="shared" si="176"/>
        <v>0</v>
      </c>
      <c r="AI123" s="10">
        <f t="shared" si="176"/>
        <v>0.02</v>
      </c>
      <c r="AJ123" s="10">
        <f t="shared" si="142"/>
        <v>0</v>
      </c>
      <c r="AK123" s="10">
        <v>0</v>
      </c>
      <c r="AL123" s="10">
        <v>0</v>
      </c>
      <c r="AM123" s="10">
        <v>0</v>
      </c>
      <c r="AN123" s="10">
        <v>0</v>
      </c>
      <c r="AO123" s="10">
        <f>SUM(AP123:AS123)</f>
        <v>0.15092</v>
      </c>
      <c r="AP123" s="10">
        <v>0.15092</v>
      </c>
      <c r="AQ123" s="10">
        <v>0</v>
      </c>
      <c r="AR123" s="10">
        <v>0</v>
      </c>
      <c r="AS123" s="10">
        <v>0</v>
      </c>
      <c r="AT123" s="10">
        <f>SUM(AU123:AX123)</f>
        <v>1.03275103</v>
      </c>
      <c r="AU123" s="10">
        <v>0</v>
      </c>
      <c r="AV123" s="10">
        <v>1.03275103</v>
      </c>
      <c r="AW123" s="10">
        <v>0</v>
      </c>
      <c r="AX123" s="10">
        <v>0</v>
      </c>
      <c r="AY123" s="10">
        <v>1.4999999999999999E-2</v>
      </c>
      <c r="AZ123" s="10">
        <v>0</v>
      </c>
      <c r="BA123" s="10">
        <v>0</v>
      </c>
      <c r="BB123" s="10">
        <v>0</v>
      </c>
      <c r="BC123" s="10">
        <v>0.02</v>
      </c>
    </row>
    <row r="124" spans="1:55" s="13" customFormat="1" ht="63" x14ac:dyDescent="0.25">
      <c r="A124" s="12" t="s">
        <v>158</v>
      </c>
      <c r="B124" s="40" t="s">
        <v>312</v>
      </c>
      <c r="C124" s="42" t="s">
        <v>313</v>
      </c>
      <c r="D124" s="16">
        <v>4.18</v>
      </c>
      <c r="E124" s="10">
        <f t="shared" si="175"/>
        <v>2.517214032</v>
      </c>
      <c r="F124" s="10">
        <f t="shared" si="175"/>
        <v>0</v>
      </c>
      <c r="G124" s="10">
        <f t="shared" si="175"/>
        <v>2.3606709960000001</v>
      </c>
      <c r="H124" s="10">
        <f t="shared" si="175"/>
        <v>0</v>
      </c>
      <c r="I124" s="10">
        <f t="shared" si="175"/>
        <v>0.156543036</v>
      </c>
      <c r="J124" s="10">
        <f t="shared" si="134"/>
        <v>0</v>
      </c>
      <c r="K124" s="10">
        <v>0</v>
      </c>
      <c r="L124" s="10">
        <v>0</v>
      </c>
      <c r="M124" s="10">
        <v>0</v>
      </c>
      <c r="N124" s="10">
        <v>0</v>
      </c>
      <c r="O124" s="10">
        <f>SUM(P124:S124)</f>
        <v>0</v>
      </c>
      <c r="P124" s="10">
        <v>0</v>
      </c>
      <c r="Q124" s="10">
        <v>0</v>
      </c>
      <c r="R124" s="10">
        <v>0</v>
      </c>
      <c r="S124" s="10">
        <v>0</v>
      </c>
      <c r="T124" s="15">
        <f>SUM(U124:X124)</f>
        <v>2.517214032</v>
      </c>
      <c r="U124" s="15">
        <v>0</v>
      </c>
      <c r="V124" s="10">
        <v>2.3606709960000001</v>
      </c>
      <c r="W124" s="10">
        <v>0</v>
      </c>
      <c r="X124" s="10">
        <v>0.156543036</v>
      </c>
      <c r="Y124" s="17">
        <v>0</v>
      </c>
      <c r="Z124" s="10">
        <v>0</v>
      </c>
      <c r="AA124" s="10">
        <v>0</v>
      </c>
      <c r="AB124" s="10">
        <v>0</v>
      </c>
      <c r="AC124" s="10">
        <v>0</v>
      </c>
      <c r="AD124" s="19">
        <v>5.89</v>
      </c>
      <c r="AE124" s="10">
        <f t="shared" si="176"/>
        <v>4.5080541000000007</v>
      </c>
      <c r="AF124" s="10">
        <f t="shared" si="176"/>
        <v>0.38055556000000001</v>
      </c>
      <c r="AG124" s="10">
        <f t="shared" si="176"/>
        <v>3.99704601</v>
      </c>
      <c r="AH124" s="10">
        <f t="shared" si="176"/>
        <v>0</v>
      </c>
      <c r="AI124" s="10">
        <f t="shared" si="176"/>
        <v>0.13045253000000001</v>
      </c>
      <c r="AJ124" s="10">
        <f t="shared" si="142"/>
        <v>0</v>
      </c>
      <c r="AK124" s="10">
        <v>0</v>
      </c>
      <c r="AL124" s="10">
        <v>0</v>
      </c>
      <c r="AM124" s="10">
        <v>0</v>
      </c>
      <c r="AN124" s="10">
        <v>0</v>
      </c>
      <c r="AO124" s="10">
        <f>SUM(AP124:AS124)</f>
        <v>4.5080541000000007</v>
      </c>
      <c r="AP124" s="10">
        <v>0.38055556000000001</v>
      </c>
      <c r="AQ124" s="10">
        <v>3.99704601</v>
      </c>
      <c r="AR124" s="10">
        <v>0</v>
      </c>
      <c r="AS124" s="10">
        <v>0.13045253000000001</v>
      </c>
      <c r="AT124" s="10">
        <f>SUM(AU124:AX124)</f>
        <v>0</v>
      </c>
      <c r="AU124" s="10">
        <v>0</v>
      </c>
      <c r="AV124" s="10">
        <v>0</v>
      </c>
      <c r="AW124" s="10">
        <v>0</v>
      </c>
      <c r="AX124" s="10">
        <v>0</v>
      </c>
      <c r="AY124" s="10">
        <v>0</v>
      </c>
      <c r="AZ124" s="10">
        <v>0</v>
      </c>
      <c r="BA124" s="10">
        <v>0</v>
      </c>
      <c r="BB124" s="10">
        <v>0</v>
      </c>
      <c r="BC124" s="10">
        <v>0</v>
      </c>
    </row>
    <row r="125" spans="1:55" s="13" customFormat="1" ht="78.75" x14ac:dyDescent="0.25">
      <c r="A125" s="12" t="s">
        <v>159</v>
      </c>
      <c r="B125" s="40" t="s">
        <v>213</v>
      </c>
      <c r="C125" s="42" t="s">
        <v>214</v>
      </c>
      <c r="D125" s="16">
        <v>3.46</v>
      </c>
      <c r="E125" s="10">
        <f t="shared" si="129"/>
        <v>2.9142756679999997</v>
      </c>
      <c r="F125" s="10">
        <f t="shared" si="130"/>
        <v>0</v>
      </c>
      <c r="G125" s="10">
        <f t="shared" si="131"/>
        <v>6.2338355999999998E-2</v>
      </c>
      <c r="H125" s="10">
        <f t="shared" si="132"/>
        <v>2.7349999999999999</v>
      </c>
      <c r="I125" s="10">
        <f t="shared" si="133"/>
        <v>0.11693731199999999</v>
      </c>
      <c r="J125" s="10">
        <f t="shared" si="134"/>
        <v>2.7349999999999999</v>
      </c>
      <c r="K125" s="10">
        <v>0</v>
      </c>
      <c r="L125" s="10">
        <v>0</v>
      </c>
      <c r="M125" s="10">
        <v>2.7349999999999999</v>
      </c>
      <c r="N125" s="10">
        <v>0</v>
      </c>
      <c r="O125" s="10">
        <f t="shared" si="135"/>
        <v>0</v>
      </c>
      <c r="P125" s="10">
        <v>0</v>
      </c>
      <c r="Q125" s="10">
        <v>0</v>
      </c>
      <c r="R125" s="10">
        <v>0</v>
      </c>
      <c r="S125" s="10">
        <v>0</v>
      </c>
      <c r="T125" s="15">
        <f t="shared" si="136"/>
        <v>0.179275668</v>
      </c>
      <c r="U125" s="15">
        <v>0</v>
      </c>
      <c r="V125" s="10">
        <v>6.2338355999999998E-2</v>
      </c>
      <c r="W125" s="10">
        <v>0</v>
      </c>
      <c r="X125" s="10">
        <v>0.11693731199999999</v>
      </c>
      <c r="Y125" s="17">
        <v>0</v>
      </c>
      <c r="Z125" s="10">
        <v>0</v>
      </c>
      <c r="AA125" s="10">
        <v>0</v>
      </c>
      <c r="AB125" s="10">
        <v>0</v>
      </c>
      <c r="AC125" s="10">
        <v>0</v>
      </c>
      <c r="AD125" s="19">
        <v>3.71</v>
      </c>
      <c r="AE125" s="10">
        <f t="shared" si="137"/>
        <v>3.2616252899999996</v>
      </c>
      <c r="AF125" s="10">
        <f t="shared" si="138"/>
        <v>0.23626665999999999</v>
      </c>
      <c r="AG125" s="10">
        <f t="shared" si="139"/>
        <v>0.65194863000000003</v>
      </c>
      <c r="AH125" s="10">
        <f t="shared" si="140"/>
        <v>2.2834099999999999</v>
      </c>
      <c r="AI125" s="10">
        <f t="shared" si="141"/>
        <v>0.09</v>
      </c>
      <c r="AJ125" s="10">
        <f t="shared" si="142"/>
        <v>0</v>
      </c>
      <c r="AK125" s="10">
        <v>0</v>
      </c>
      <c r="AL125" s="10">
        <v>0</v>
      </c>
      <c r="AM125" s="10">
        <v>0</v>
      </c>
      <c r="AN125" s="10">
        <v>0</v>
      </c>
      <c r="AO125" s="10">
        <f t="shared" si="143"/>
        <v>3.2616252899999996</v>
      </c>
      <c r="AP125" s="10">
        <v>0.23626665999999999</v>
      </c>
      <c r="AQ125" s="10">
        <v>0.65194863000000003</v>
      </c>
      <c r="AR125" s="10">
        <v>2.2834099999999999</v>
      </c>
      <c r="AS125" s="10">
        <v>0.09</v>
      </c>
      <c r="AT125" s="10">
        <f t="shared" si="144"/>
        <v>0</v>
      </c>
      <c r="AU125" s="10">
        <v>0</v>
      </c>
      <c r="AV125" s="10">
        <v>0</v>
      </c>
      <c r="AW125" s="10">
        <v>0</v>
      </c>
      <c r="AX125" s="10">
        <v>0</v>
      </c>
      <c r="AY125" s="10">
        <v>0</v>
      </c>
      <c r="AZ125" s="10">
        <v>0</v>
      </c>
      <c r="BA125" s="10">
        <v>0</v>
      </c>
      <c r="BB125" s="10">
        <v>0</v>
      </c>
      <c r="BC125" s="10">
        <v>0</v>
      </c>
    </row>
    <row r="126" spans="1:55" s="13" customFormat="1" ht="47.25" x14ac:dyDescent="0.25">
      <c r="A126" s="12" t="s">
        <v>425</v>
      </c>
      <c r="B126" s="37" t="s">
        <v>221</v>
      </c>
      <c r="C126" s="41" t="s">
        <v>222</v>
      </c>
      <c r="D126" s="16">
        <v>0.88</v>
      </c>
      <c r="E126" s="10">
        <f t="shared" si="129"/>
        <v>1.254776976</v>
      </c>
      <c r="F126" s="10">
        <f t="shared" si="130"/>
        <v>0</v>
      </c>
      <c r="G126" s="10">
        <f t="shared" si="131"/>
        <v>1.2039989760000001</v>
      </c>
      <c r="H126" s="10">
        <f t="shared" si="132"/>
        <v>0</v>
      </c>
      <c r="I126" s="10">
        <f t="shared" si="133"/>
        <v>5.0777999999999997E-2</v>
      </c>
      <c r="J126" s="10">
        <f t="shared" si="134"/>
        <v>5.0777999999999997E-2</v>
      </c>
      <c r="K126" s="10">
        <v>0</v>
      </c>
      <c r="L126" s="10">
        <v>0</v>
      </c>
      <c r="M126" s="10">
        <v>0</v>
      </c>
      <c r="N126" s="10">
        <f>0.042315*1.2</f>
        <v>5.0777999999999997E-2</v>
      </c>
      <c r="O126" s="10">
        <f t="shared" si="135"/>
        <v>1.2039989760000001</v>
      </c>
      <c r="P126" s="10">
        <v>0</v>
      </c>
      <c r="Q126" s="10">
        <f>1.00333248*1.2</f>
        <v>1.2039989760000001</v>
      </c>
      <c r="R126" s="10">
        <v>0</v>
      </c>
      <c r="S126" s="10">
        <v>0</v>
      </c>
      <c r="T126" s="15">
        <f t="shared" si="136"/>
        <v>0</v>
      </c>
      <c r="U126" s="15">
        <v>0</v>
      </c>
      <c r="V126" s="10">
        <v>0</v>
      </c>
      <c r="W126" s="10">
        <v>0</v>
      </c>
      <c r="X126" s="10">
        <v>0</v>
      </c>
      <c r="Y126" s="17">
        <v>0</v>
      </c>
      <c r="Z126" s="10">
        <v>0</v>
      </c>
      <c r="AA126" s="10">
        <v>0</v>
      </c>
      <c r="AB126" s="10">
        <v>0</v>
      </c>
      <c r="AC126" s="10">
        <v>0</v>
      </c>
      <c r="AD126" s="19">
        <v>1.1499999999999999</v>
      </c>
      <c r="AE126" s="10">
        <f t="shared" si="137"/>
        <v>1.4558199999999999</v>
      </c>
      <c r="AF126" s="10">
        <f t="shared" si="138"/>
        <v>0.29582000000000003</v>
      </c>
      <c r="AG126" s="10">
        <f t="shared" si="139"/>
        <v>1.1599999999999999</v>
      </c>
      <c r="AH126" s="10">
        <f t="shared" si="140"/>
        <v>0</v>
      </c>
      <c r="AI126" s="10">
        <f t="shared" si="141"/>
        <v>0</v>
      </c>
      <c r="AJ126" s="10">
        <f t="shared" si="142"/>
        <v>1.4558199999999999</v>
      </c>
      <c r="AK126" s="10">
        <v>0.29582000000000003</v>
      </c>
      <c r="AL126" s="10">
        <v>1.1599999999999999</v>
      </c>
      <c r="AM126" s="10">
        <v>0</v>
      </c>
      <c r="AN126" s="10">
        <v>0</v>
      </c>
      <c r="AO126" s="10">
        <f t="shared" si="143"/>
        <v>0</v>
      </c>
      <c r="AP126" s="10">
        <v>0</v>
      </c>
      <c r="AQ126" s="10">
        <v>0</v>
      </c>
      <c r="AR126" s="10">
        <v>0</v>
      </c>
      <c r="AS126" s="10">
        <v>0</v>
      </c>
      <c r="AT126" s="10">
        <f t="shared" si="144"/>
        <v>0</v>
      </c>
      <c r="AU126" s="10">
        <v>0</v>
      </c>
      <c r="AV126" s="10">
        <v>0</v>
      </c>
      <c r="AW126" s="10">
        <v>0</v>
      </c>
      <c r="AX126" s="10">
        <v>0</v>
      </c>
      <c r="AY126" s="10">
        <v>0</v>
      </c>
      <c r="AZ126" s="10">
        <v>0</v>
      </c>
      <c r="BA126" s="10">
        <v>0</v>
      </c>
      <c r="BB126" s="10">
        <v>0</v>
      </c>
      <c r="BC126" s="10">
        <v>0</v>
      </c>
    </row>
    <row r="127" spans="1:55" s="13" customFormat="1" ht="63" x14ac:dyDescent="0.25">
      <c r="A127" s="12" t="s">
        <v>426</v>
      </c>
      <c r="B127" s="40" t="s">
        <v>215</v>
      </c>
      <c r="C127" s="42" t="s">
        <v>216</v>
      </c>
      <c r="D127" s="16">
        <v>5.64</v>
      </c>
      <c r="E127" s="10">
        <f t="shared" si="129"/>
        <v>0</v>
      </c>
      <c r="F127" s="10">
        <f t="shared" si="130"/>
        <v>0</v>
      </c>
      <c r="G127" s="10">
        <f t="shared" si="131"/>
        <v>0</v>
      </c>
      <c r="H127" s="10">
        <f t="shared" si="132"/>
        <v>0</v>
      </c>
      <c r="I127" s="10">
        <f t="shared" si="133"/>
        <v>0</v>
      </c>
      <c r="J127" s="10">
        <f t="shared" si="134"/>
        <v>0.5</v>
      </c>
      <c r="K127" s="10">
        <v>0</v>
      </c>
      <c r="L127" s="10">
        <v>0.5</v>
      </c>
      <c r="M127" s="10">
        <v>0</v>
      </c>
      <c r="N127" s="10">
        <v>0</v>
      </c>
      <c r="O127" s="10">
        <f t="shared" si="135"/>
        <v>0</v>
      </c>
      <c r="P127" s="10">
        <v>0</v>
      </c>
      <c r="Q127" s="10">
        <v>0</v>
      </c>
      <c r="R127" s="10">
        <v>0</v>
      </c>
      <c r="S127" s="10">
        <v>0</v>
      </c>
      <c r="T127" s="15">
        <f t="shared" si="136"/>
        <v>0</v>
      </c>
      <c r="U127" s="15">
        <v>0</v>
      </c>
      <c r="V127" s="10">
        <v>0</v>
      </c>
      <c r="W127" s="10">
        <v>0</v>
      </c>
      <c r="X127" s="10">
        <v>0</v>
      </c>
      <c r="Y127" s="17">
        <v>-0.5</v>
      </c>
      <c r="Z127" s="10">
        <v>0</v>
      </c>
      <c r="AA127" s="10">
        <v>-0.5</v>
      </c>
      <c r="AB127" s="10">
        <v>0</v>
      </c>
      <c r="AC127" s="10">
        <v>0</v>
      </c>
      <c r="AD127" s="19">
        <v>6.45</v>
      </c>
      <c r="AE127" s="10">
        <f t="shared" si="137"/>
        <v>0</v>
      </c>
      <c r="AF127" s="10">
        <f t="shared" si="138"/>
        <v>0</v>
      </c>
      <c r="AG127" s="10">
        <f t="shared" si="139"/>
        <v>0</v>
      </c>
      <c r="AH127" s="10">
        <f t="shared" si="140"/>
        <v>0</v>
      </c>
      <c r="AI127" s="10">
        <f t="shared" si="141"/>
        <v>0</v>
      </c>
      <c r="AJ127" s="10">
        <f t="shared" si="142"/>
        <v>0</v>
      </c>
      <c r="AK127" s="10">
        <v>0</v>
      </c>
      <c r="AL127" s="10">
        <v>0</v>
      </c>
      <c r="AM127" s="10">
        <v>0</v>
      </c>
      <c r="AN127" s="10">
        <v>0</v>
      </c>
      <c r="AO127" s="10">
        <f t="shared" si="143"/>
        <v>0</v>
      </c>
      <c r="AP127" s="10">
        <v>0</v>
      </c>
      <c r="AQ127" s="10">
        <v>0</v>
      </c>
      <c r="AR127" s="10">
        <v>0</v>
      </c>
      <c r="AS127" s="10">
        <v>0</v>
      </c>
      <c r="AT127" s="10">
        <f t="shared" si="144"/>
        <v>0</v>
      </c>
      <c r="AU127" s="10">
        <v>0</v>
      </c>
      <c r="AV127" s="10">
        <v>0</v>
      </c>
      <c r="AW127" s="10">
        <v>0</v>
      </c>
      <c r="AX127" s="10">
        <v>0</v>
      </c>
      <c r="AY127" s="10">
        <v>0</v>
      </c>
      <c r="AZ127" s="10">
        <v>0</v>
      </c>
      <c r="BA127" s="10">
        <v>0</v>
      </c>
      <c r="BB127" s="10">
        <v>0</v>
      </c>
      <c r="BC127" s="10">
        <v>0</v>
      </c>
    </row>
    <row r="128" spans="1:55" s="13" customFormat="1" ht="63" x14ac:dyDescent="0.25">
      <c r="A128" s="12" t="s">
        <v>427</v>
      </c>
      <c r="B128" s="37" t="s">
        <v>217</v>
      </c>
      <c r="C128" s="50" t="s">
        <v>218</v>
      </c>
      <c r="D128" s="16">
        <v>1.44</v>
      </c>
      <c r="E128" s="10">
        <f t="shared" si="129"/>
        <v>0.93</v>
      </c>
      <c r="F128" s="10">
        <f t="shared" si="130"/>
        <v>0</v>
      </c>
      <c r="G128" s="10">
        <f t="shared" si="131"/>
        <v>0.93</v>
      </c>
      <c r="H128" s="10">
        <f t="shared" si="132"/>
        <v>0</v>
      </c>
      <c r="I128" s="10">
        <f t="shared" si="133"/>
        <v>0</v>
      </c>
      <c r="J128" s="10">
        <f t="shared" si="134"/>
        <v>0.93</v>
      </c>
      <c r="K128" s="10">
        <v>0</v>
      </c>
      <c r="L128" s="10">
        <v>0.93</v>
      </c>
      <c r="M128" s="10">
        <v>0</v>
      </c>
      <c r="N128" s="10">
        <v>0</v>
      </c>
      <c r="O128" s="10">
        <f t="shared" si="135"/>
        <v>0</v>
      </c>
      <c r="P128" s="10">
        <v>0</v>
      </c>
      <c r="Q128" s="10">
        <v>0</v>
      </c>
      <c r="R128" s="10">
        <v>0</v>
      </c>
      <c r="S128" s="10">
        <v>0</v>
      </c>
      <c r="T128" s="15">
        <f t="shared" si="136"/>
        <v>0</v>
      </c>
      <c r="U128" s="15">
        <v>0</v>
      </c>
      <c r="V128" s="10">
        <v>0</v>
      </c>
      <c r="W128" s="10">
        <v>0</v>
      </c>
      <c r="X128" s="10">
        <v>0</v>
      </c>
      <c r="Y128" s="17">
        <v>0</v>
      </c>
      <c r="Z128" s="10">
        <v>0</v>
      </c>
      <c r="AA128" s="10">
        <v>0</v>
      </c>
      <c r="AB128" s="10">
        <v>0</v>
      </c>
      <c r="AC128" s="10">
        <v>0</v>
      </c>
      <c r="AD128" s="19">
        <v>1.2</v>
      </c>
      <c r="AE128" s="10">
        <f t="shared" si="137"/>
        <v>0.78</v>
      </c>
      <c r="AF128" s="10">
        <f t="shared" si="138"/>
        <v>0</v>
      </c>
      <c r="AG128" s="10">
        <f t="shared" si="139"/>
        <v>0.78</v>
      </c>
      <c r="AH128" s="10">
        <f t="shared" si="140"/>
        <v>0</v>
      </c>
      <c r="AI128" s="10">
        <f t="shared" si="141"/>
        <v>0</v>
      </c>
      <c r="AJ128" s="10">
        <f t="shared" si="142"/>
        <v>0.78</v>
      </c>
      <c r="AK128" s="10">
        <v>0</v>
      </c>
      <c r="AL128" s="10">
        <v>0.78</v>
      </c>
      <c r="AM128" s="10">
        <v>0</v>
      </c>
      <c r="AN128" s="10">
        <v>0</v>
      </c>
      <c r="AO128" s="10">
        <f t="shared" si="143"/>
        <v>0</v>
      </c>
      <c r="AP128" s="10">
        <v>0</v>
      </c>
      <c r="AQ128" s="10">
        <v>0</v>
      </c>
      <c r="AR128" s="10">
        <v>0</v>
      </c>
      <c r="AS128" s="10">
        <v>0</v>
      </c>
      <c r="AT128" s="10">
        <f t="shared" si="144"/>
        <v>0</v>
      </c>
      <c r="AU128" s="10">
        <v>0</v>
      </c>
      <c r="AV128" s="10">
        <v>0</v>
      </c>
      <c r="AW128" s="10">
        <v>0</v>
      </c>
      <c r="AX128" s="10">
        <v>0</v>
      </c>
      <c r="AY128" s="10">
        <v>0</v>
      </c>
      <c r="AZ128" s="10">
        <v>0</v>
      </c>
      <c r="BA128" s="10">
        <v>0</v>
      </c>
      <c r="BB128" s="10">
        <v>0</v>
      </c>
      <c r="BC128" s="10">
        <v>0</v>
      </c>
    </row>
    <row r="129" spans="1:55" s="13" customFormat="1" ht="47.25" x14ac:dyDescent="0.25">
      <c r="A129" s="12" t="s">
        <v>428</v>
      </c>
      <c r="B129" s="60" t="s">
        <v>261</v>
      </c>
      <c r="C129" s="60" t="s">
        <v>262</v>
      </c>
      <c r="D129" s="16">
        <v>1.86</v>
      </c>
      <c r="E129" s="10">
        <f t="shared" si="129"/>
        <v>4.3920000000000001E-2</v>
      </c>
      <c r="F129" s="10">
        <f t="shared" si="130"/>
        <v>4.3920000000000001E-2</v>
      </c>
      <c r="G129" s="10">
        <f t="shared" si="131"/>
        <v>0</v>
      </c>
      <c r="H129" s="10">
        <f t="shared" si="132"/>
        <v>0</v>
      </c>
      <c r="I129" s="10">
        <f t="shared" si="133"/>
        <v>0</v>
      </c>
      <c r="J129" s="10">
        <f t="shared" si="134"/>
        <v>4.3920000000000001E-2</v>
      </c>
      <c r="K129" s="10">
        <f>0.0366*1.2</f>
        <v>4.3920000000000001E-2</v>
      </c>
      <c r="L129" s="10">
        <v>0</v>
      </c>
      <c r="M129" s="10">
        <v>0</v>
      </c>
      <c r="N129" s="10">
        <v>0</v>
      </c>
      <c r="O129" s="10">
        <f t="shared" si="135"/>
        <v>0</v>
      </c>
      <c r="P129" s="10">
        <v>0</v>
      </c>
      <c r="Q129" s="10">
        <v>0</v>
      </c>
      <c r="R129" s="10">
        <v>0</v>
      </c>
      <c r="S129" s="10">
        <v>0</v>
      </c>
      <c r="T129" s="15">
        <f t="shared" si="136"/>
        <v>0</v>
      </c>
      <c r="U129" s="15">
        <v>0</v>
      </c>
      <c r="V129" s="10">
        <v>0</v>
      </c>
      <c r="W129" s="10">
        <v>0</v>
      </c>
      <c r="X129" s="10">
        <v>0</v>
      </c>
      <c r="Y129" s="17">
        <v>0</v>
      </c>
      <c r="Z129" s="10">
        <v>0</v>
      </c>
      <c r="AA129" s="10">
        <v>0</v>
      </c>
      <c r="AB129" s="10">
        <v>0</v>
      </c>
      <c r="AC129" s="10">
        <v>0</v>
      </c>
      <c r="AD129" s="19">
        <v>1.55</v>
      </c>
      <c r="AE129" s="10">
        <f t="shared" si="137"/>
        <v>0.04</v>
      </c>
      <c r="AF129" s="10">
        <f t="shared" si="138"/>
        <v>0.04</v>
      </c>
      <c r="AG129" s="10">
        <f t="shared" si="139"/>
        <v>0</v>
      </c>
      <c r="AH129" s="10">
        <f t="shared" si="140"/>
        <v>0</v>
      </c>
      <c r="AI129" s="10">
        <f t="shared" si="141"/>
        <v>0</v>
      </c>
      <c r="AJ129" s="10">
        <f t="shared" si="142"/>
        <v>0.04</v>
      </c>
      <c r="AK129" s="10">
        <v>0.04</v>
      </c>
      <c r="AL129" s="10">
        <v>0</v>
      </c>
      <c r="AM129" s="10">
        <v>0</v>
      </c>
      <c r="AN129" s="10">
        <v>0</v>
      </c>
      <c r="AO129" s="10">
        <f t="shared" si="143"/>
        <v>0</v>
      </c>
      <c r="AP129" s="10">
        <v>0</v>
      </c>
      <c r="AQ129" s="10">
        <v>0</v>
      </c>
      <c r="AR129" s="10">
        <v>0</v>
      </c>
      <c r="AS129" s="10">
        <v>0</v>
      </c>
      <c r="AT129" s="10">
        <f t="shared" si="144"/>
        <v>0</v>
      </c>
      <c r="AU129" s="10">
        <v>0</v>
      </c>
      <c r="AV129" s="10">
        <v>0</v>
      </c>
      <c r="AW129" s="10">
        <v>0</v>
      </c>
      <c r="AX129" s="10">
        <v>0</v>
      </c>
      <c r="AY129" s="10">
        <v>0</v>
      </c>
      <c r="AZ129" s="10">
        <v>0</v>
      </c>
      <c r="BA129" s="10">
        <v>0</v>
      </c>
      <c r="BB129" s="10">
        <v>0</v>
      </c>
      <c r="BC129" s="10">
        <v>0</v>
      </c>
    </row>
    <row r="130" spans="1:55" s="13" customFormat="1" ht="47.25" x14ac:dyDescent="0.25">
      <c r="A130" s="12" t="s">
        <v>429</v>
      </c>
      <c r="B130" s="60" t="s">
        <v>263</v>
      </c>
      <c r="C130" s="12" t="s">
        <v>264</v>
      </c>
      <c r="D130" s="16">
        <v>0.28999999999999998</v>
      </c>
      <c r="E130" s="10">
        <f t="shared" si="129"/>
        <v>0.26</v>
      </c>
      <c r="F130" s="10">
        <f t="shared" si="130"/>
        <v>0</v>
      </c>
      <c r="G130" s="10">
        <f t="shared" si="131"/>
        <v>0.26</v>
      </c>
      <c r="H130" s="10">
        <f t="shared" si="132"/>
        <v>0</v>
      </c>
      <c r="I130" s="10">
        <f t="shared" si="133"/>
        <v>0</v>
      </c>
      <c r="J130" s="10">
        <f t="shared" si="134"/>
        <v>0.26</v>
      </c>
      <c r="K130" s="10">
        <v>0</v>
      </c>
      <c r="L130" s="10">
        <v>0.26</v>
      </c>
      <c r="M130" s="10">
        <v>0</v>
      </c>
      <c r="N130" s="10">
        <v>0</v>
      </c>
      <c r="O130" s="10">
        <f t="shared" si="135"/>
        <v>0</v>
      </c>
      <c r="P130" s="10">
        <v>0</v>
      </c>
      <c r="Q130" s="10">
        <v>0</v>
      </c>
      <c r="R130" s="10">
        <v>0</v>
      </c>
      <c r="S130" s="10">
        <v>0</v>
      </c>
      <c r="T130" s="15">
        <f t="shared" si="136"/>
        <v>0</v>
      </c>
      <c r="U130" s="15">
        <v>0</v>
      </c>
      <c r="V130" s="10">
        <v>0</v>
      </c>
      <c r="W130" s="10">
        <v>0</v>
      </c>
      <c r="X130" s="10">
        <v>0</v>
      </c>
      <c r="Y130" s="17">
        <v>0</v>
      </c>
      <c r="Z130" s="10">
        <v>0</v>
      </c>
      <c r="AA130" s="10">
        <v>0</v>
      </c>
      <c r="AB130" s="10">
        <v>0</v>
      </c>
      <c r="AC130" s="10">
        <v>0</v>
      </c>
      <c r="AD130" s="19">
        <v>0.24</v>
      </c>
      <c r="AE130" s="10">
        <f t="shared" si="137"/>
        <v>0.21</v>
      </c>
      <c r="AF130" s="10">
        <f t="shared" si="138"/>
        <v>0</v>
      </c>
      <c r="AG130" s="10">
        <f t="shared" si="139"/>
        <v>0.21</v>
      </c>
      <c r="AH130" s="10">
        <f t="shared" si="140"/>
        <v>0</v>
      </c>
      <c r="AI130" s="10">
        <f t="shared" si="141"/>
        <v>0</v>
      </c>
      <c r="AJ130" s="10">
        <f t="shared" si="142"/>
        <v>0.21</v>
      </c>
      <c r="AK130" s="10">
        <v>0</v>
      </c>
      <c r="AL130" s="10">
        <v>0.21</v>
      </c>
      <c r="AM130" s="10">
        <v>0</v>
      </c>
      <c r="AN130" s="10">
        <v>0</v>
      </c>
      <c r="AO130" s="10">
        <f t="shared" si="143"/>
        <v>0</v>
      </c>
      <c r="AP130" s="10">
        <v>0</v>
      </c>
      <c r="AQ130" s="10">
        <v>0</v>
      </c>
      <c r="AR130" s="10">
        <v>0</v>
      </c>
      <c r="AS130" s="10">
        <v>0</v>
      </c>
      <c r="AT130" s="10">
        <f t="shared" si="144"/>
        <v>0</v>
      </c>
      <c r="AU130" s="10">
        <v>0</v>
      </c>
      <c r="AV130" s="10">
        <v>0</v>
      </c>
      <c r="AW130" s="10">
        <v>0</v>
      </c>
      <c r="AX130" s="10">
        <v>0</v>
      </c>
      <c r="AY130" s="10">
        <v>0</v>
      </c>
      <c r="AZ130" s="10">
        <v>0</v>
      </c>
      <c r="BA130" s="10">
        <v>0</v>
      </c>
      <c r="BB130" s="10">
        <v>0</v>
      </c>
      <c r="BC130" s="10">
        <v>0</v>
      </c>
    </row>
    <row r="131" spans="1:55" s="13" customFormat="1" ht="47.25" x14ac:dyDescent="0.25">
      <c r="A131" s="12" t="s">
        <v>430</v>
      </c>
      <c r="B131" s="40" t="s">
        <v>265</v>
      </c>
      <c r="C131" s="40" t="s">
        <v>266</v>
      </c>
      <c r="D131" s="16">
        <v>0.3</v>
      </c>
      <c r="E131" s="10">
        <f t="shared" si="129"/>
        <v>0.21122248000000002</v>
      </c>
      <c r="F131" s="10">
        <f t="shared" si="130"/>
        <v>0.01</v>
      </c>
      <c r="G131" s="10">
        <f t="shared" si="131"/>
        <v>0.20122248000000001</v>
      </c>
      <c r="H131" s="10">
        <f t="shared" si="132"/>
        <v>0</v>
      </c>
      <c r="I131" s="10">
        <f t="shared" si="133"/>
        <v>0</v>
      </c>
      <c r="J131" s="10">
        <f t="shared" si="134"/>
        <v>0.01</v>
      </c>
      <c r="K131" s="10">
        <v>0.01</v>
      </c>
      <c r="L131" s="10">
        <v>0</v>
      </c>
      <c r="M131" s="10">
        <v>0</v>
      </c>
      <c r="N131" s="10">
        <v>0</v>
      </c>
      <c r="O131" s="10">
        <f t="shared" si="135"/>
        <v>0.20122248000000001</v>
      </c>
      <c r="P131" s="10">
        <v>0</v>
      </c>
      <c r="Q131" s="10">
        <f>0.1676854*1.2</f>
        <v>0.20122248000000001</v>
      </c>
      <c r="R131" s="10">
        <v>0</v>
      </c>
      <c r="S131" s="10">
        <v>0</v>
      </c>
      <c r="T131" s="15">
        <f t="shared" si="136"/>
        <v>0</v>
      </c>
      <c r="U131" s="15">
        <v>0</v>
      </c>
      <c r="V131" s="10">
        <v>0</v>
      </c>
      <c r="W131" s="10">
        <v>0</v>
      </c>
      <c r="X131" s="10">
        <v>0</v>
      </c>
      <c r="Y131" s="17">
        <v>0</v>
      </c>
      <c r="Z131" s="10">
        <v>0</v>
      </c>
      <c r="AA131" s="10">
        <v>0</v>
      </c>
      <c r="AB131" s="10">
        <v>0</v>
      </c>
      <c r="AC131" s="10">
        <v>0</v>
      </c>
      <c r="AD131" s="19">
        <v>0.25</v>
      </c>
      <c r="AE131" s="10">
        <f t="shared" si="137"/>
        <v>0.1723654</v>
      </c>
      <c r="AF131" s="10">
        <f t="shared" si="138"/>
        <v>4.6800000000000001E-3</v>
      </c>
      <c r="AG131" s="10">
        <f t="shared" si="139"/>
        <v>0.16768540000000001</v>
      </c>
      <c r="AH131" s="10">
        <f t="shared" si="140"/>
        <v>0</v>
      </c>
      <c r="AI131" s="10">
        <f t="shared" si="141"/>
        <v>0</v>
      </c>
      <c r="AJ131" s="10">
        <f t="shared" si="142"/>
        <v>4.6800000000000001E-3</v>
      </c>
      <c r="AK131" s="10">
        <v>4.6800000000000001E-3</v>
      </c>
      <c r="AL131" s="10">
        <v>0</v>
      </c>
      <c r="AM131" s="10">
        <v>0</v>
      </c>
      <c r="AN131" s="10">
        <v>0</v>
      </c>
      <c r="AO131" s="10">
        <f t="shared" si="143"/>
        <v>0.16768540000000001</v>
      </c>
      <c r="AP131" s="10">
        <v>0</v>
      </c>
      <c r="AQ131" s="10">
        <v>0.16768540000000001</v>
      </c>
      <c r="AR131" s="10">
        <v>0</v>
      </c>
      <c r="AS131" s="10">
        <v>0</v>
      </c>
      <c r="AT131" s="10">
        <f t="shared" si="144"/>
        <v>0</v>
      </c>
      <c r="AU131" s="10">
        <v>0</v>
      </c>
      <c r="AV131" s="10">
        <v>0</v>
      </c>
      <c r="AW131" s="10">
        <v>0</v>
      </c>
      <c r="AX131" s="10">
        <v>0</v>
      </c>
      <c r="AY131" s="10">
        <v>0</v>
      </c>
      <c r="AZ131" s="10">
        <v>0</v>
      </c>
      <c r="BA131" s="10">
        <v>0</v>
      </c>
      <c r="BB131" s="10">
        <v>0</v>
      </c>
      <c r="BC131" s="10">
        <v>0</v>
      </c>
    </row>
    <row r="132" spans="1:55" s="13" customFormat="1" ht="47.25" x14ac:dyDescent="0.25">
      <c r="A132" s="12" t="s">
        <v>431</v>
      </c>
      <c r="B132" s="37" t="s">
        <v>267</v>
      </c>
      <c r="C132" s="12" t="s">
        <v>268</v>
      </c>
      <c r="D132" s="16">
        <v>0.67</v>
      </c>
      <c r="E132" s="10">
        <f t="shared" si="129"/>
        <v>0.39</v>
      </c>
      <c r="F132" s="10">
        <f t="shared" si="130"/>
        <v>0</v>
      </c>
      <c r="G132" s="10">
        <f t="shared" si="131"/>
        <v>0.39</v>
      </c>
      <c r="H132" s="10">
        <f t="shared" si="132"/>
        <v>0</v>
      </c>
      <c r="I132" s="10">
        <f t="shared" si="133"/>
        <v>0</v>
      </c>
      <c r="J132" s="10">
        <f t="shared" si="134"/>
        <v>0.39</v>
      </c>
      <c r="K132" s="10">
        <v>0</v>
      </c>
      <c r="L132" s="10">
        <v>0.39</v>
      </c>
      <c r="M132" s="10">
        <v>0</v>
      </c>
      <c r="N132" s="10">
        <v>0</v>
      </c>
      <c r="O132" s="10">
        <f t="shared" si="135"/>
        <v>0</v>
      </c>
      <c r="P132" s="10">
        <v>0</v>
      </c>
      <c r="Q132" s="10">
        <v>0</v>
      </c>
      <c r="R132" s="10">
        <v>0</v>
      </c>
      <c r="S132" s="10">
        <v>0</v>
      </c>
      <c r="T132" s="15">
        <f t="shared" si="136"/>
        <v>0</v>
      </c>
      <c r="U132" s="15">
        <v>0</v>
      </c>
      <c r="V132" s="10">
        <v>0</v>
      </c>
      <c r="W132" s="10">
        <v>0</v>
      </c>
      <c r="X132" s="10">
        <v>0</v>
      </c>
      <c r="Y132" s="17">
        <v>0</v>
      </c>
      <c r="Z132" s="10">
        <v>0</v>
      </c>
      <c r="AA132" s="10">
        <v>0</v>
      </c>
      <c r="AB132" s="10">
        <v>0</v>
      </c>
      <c r="AC132" s="10">
        <v>0</v>
      </c>
      <c r="AD132" s="19">
        <v>0.56000000000000005</v>
      </c>
      <c r="AE132" s="10">
        <f t="shared" si="137"/>
        <v>0.33</v>
      </c>
      <c r="AF132" s="10">
        <f t="shared" si="138"/>
        <v>0</v>
      </c>
      <c r="AG132" s="10">
        <f t="shared" si="139"/>
        <v>0.33</v>
      </c>
      <c r="AH132" s="10">
        <f t="shared" si="140"/>
        <v>0</v>
      </c>
      <c r="AI132" s="10">
        <f t="shared" si="141"/>
        <v>0</v>
      </c>
      <c r="AJ132" s="10">
        <f t="shared" si="142"/>
        <v>0.33</v>
      </c>
      <c r="AK132" s="10">
        <v>0</v>
      </c>
      <c r="AL132" s="10">
        <v>0.33</v>
      </c>
      <c r="AM132" s="10">
        <v>0</v>
      </c>
      <c r="AN132" s="10">
        <v>0</v>
      </c>
      <c r="AO132" s="10">
        <f t="shared" si="143"/>
        <v>0</v>
      </c>
      <c r="AP132" s="10">
        <v>0</v>
      </c>
      <c r="AQ132" s="10">
        <v>0</v>
      </c>
      <c r="AR132" s="10">
        <v>0</v>
      </c>
      <c r="AS132" s="10">
        <v>0</v>
      </c>
      <c r="AT132" s="10">
        <f t="shared" si="144"/>
        <v>0</v>
      </c>
      <c r="AU132" s="10">
        <v>0</v>
      </c>
      <c r="AV132" s="10">
        <v>0</v>
      </c>
      <c r="AW132" s="10">
        <v>0</v>
      </c>
      <c r="AX132" s="10">
        <v>0</v>
      </c>
      <c r="AY132" s="10">
        <v>0</v>
      </c>
      <c r="AZ132" s="10">
        <v>0</v>
      </c>
      <c r="BA132" s="10">
        <v>0</v>
      </c>
      <c r="BB132" s="10">
        <v>0</v>
      </c>
      <c r="BC132" s="10">
        <v>0</v>
      </c>
    </row>
    <row r="133" spans="1:55" s="13" customFormat="1" ht="63" x14ac:dyDescent="0.25">
      <c r="A133" s="12" t="s">
        <v>432</v>
      </c>
      <c r="B133" s="37" t="s">
        <v>269</v>
      </c>
      <c r="C133" s="12" t="s">
        <v>270</v>
      </c>
      <c r="D133" s="16">
        <v>0.35</v>
      </c>
      <c r="E133" s="10">
        <f t="shared" ref="E133:H134" si="177">J133+O133+T133+Y133</f>
        <v>0.47</v>
      </c>
      <c r="F133" s="10">
        <f t="shared" si="177"/>
        <v>0</v>
      </c>
      <c r="G133" s="10">
        <f t="shared" si="177"/>
        <v>0.47</v>
      </c>
      <c r="H133" s="10">
        <f t="shared" si="177"/>
        <v>0</v>
      </c>
      <c r="I133" s="10">
        <f t="shared" si="133"/>
        <v>0</v>
      </c>
      <c r="J133" s="10">
        <f t="shared" si="134"/>
        <v>0.47</v>
      </c>
      <c r="K133" s="10">
        <v>0</v>
      </c>
      <c r="L133" s="10">
        <v>0.47</v>
      </c>
      <c r="M133" s="10">
        <v>0</v>
      </c>
      <c r="N133" s="10">
        <v>0</v>
      </c>
      <c r="O133" s="10">
        <f t="shared" si="135"/>
        <v>0</v>
      </c>
      <c r="P133" s="10">
        <v>0</v>
      </c>
      <c r="Q133" s="10">
        <v>0</v>
      </c>
      <c r="R133" s="10">
        <v>0</v>
      </c>
      <c r="S133" s="10">
        <v>0</v>
      </c>
      <c r="T133" s="15">
        <f t="shared" si="136"/>
        <v>0</v>
      </c>
      <c r="U133" s="15">
        <v>0</v>
      </c>
      <c r="V133" s="10">
        <v>0</v>
      </c>
      <c r="W133" s="10">
        <v>0</v>
      </c>
      <c r="X133" s="10">
        <v>0</v>
      </c>
      <c r="Y133" s="17">
        <v>0</v>
      </c>
      <c r="Z133" s="10">
        <v>0</v>
      </c>
      <c r="AA133" s="10">
        <v>0</v>
      </c>
      <c r="AB133" s="10">
        <v>0</v>
      </c>
      <c r="AC133" s="10">
        <v>0</v>
      </c>
      <c r="AD133" s="19">
        <v>0.3</v>
      </c>
      <c r="AE133" s="10">
        <f t="shared" ref="AE133:AI134" si="178">AJ133+AO133+AT133+AY133</f>
        <v>0.39200000000000002</v>
      </c>
      <c r="AF133" s="10">
        <f t="shared" si="178"/>
        <v>0</v>
      </c>
      <c r="AG133" s="10">
        <f t="shared" si="178"/>
        <v>0.39200000000000002</v>
      </c>
      <c r="AH133" s="10">
        <f t="shared" si="178"/>
        <v>0</v>
      </c>
      <c r="AI133" s="10">
        <f t="shared" si="178"/>
        <v>0</v>
      </c>
      <c r="AJ133" s="10">
        <f t="shared" si="142"/>
        <v>0.39200000000000002</v>
      </c>
      <c r="AK133" s="10">
        <v>0</v>
      </c>
      <c r="AL133" s="10">
        <v>0.39200000000000002</v>
      </c>
      <c r="AM133" s="10">
        <v>0</v>
      </c>
      <c r="AN133" s="10">
        <v>0</v>
      </c>
      <c r="AO133" s="10">
        <f>SUM(AP133:AS133)</f>
        <v>0</v>
      </c>
      <c r="AP133" s="10">
        <v>0</v>
      </c>
      <c r="AQ133" s="10">
        <v>0</v>
      </c>
      <c r="AR133" s="10">
        <v>0</v>
      </c>
      <c r="AS133" s="10">
        <v>0</v>
      </c>
      <c r="AT133" s="10">
        <f>SUM(AU133:AX133)</f>
        <v>0</v>
      </c>
      <c r="AU133" s="10">
        <v>0</v>
      </c>
      <c r="AV133" s="10">
        <v>0</v>
      </c>
      <c r="AW133" s="10">
        <v>0</v>
      </c>
      <c r="AX133" s="10">
        <v>0</v>
      </c>
      <c r="AY133" s="10">
        <v>0</v>
      </c>
      <c r="AZ133" s="10">
        <v>0</v>
      </c>
      <c r="BA133" s="10">
        <v>0</v>
      </c>
      <c r="BB133" s="10">
        <v>0</v>
      </c>
      <c r="BC133" s="10">
        <v>0</v>
      </c>
    </row>
    <row r="134" spans="1:55" s="13" customFormat="1" ht="78.75" x14ac:dyDescent="0.25">
      <c r="A134" s="12" t="s">
        <v>433</v>
      </c>
      <c r="B134" s="40" t="s">
        <v>271</v>
      </c>
      <c r="C134" s="12" t="s">
        <v>272</v>
      </c>
      <c r="D134" s="16">
        <v>0.78999999999999992</v>
      </c>
      <c r="E134" s="10">
        <f t="shared" si="177"/>
        <v>0.61097402000000001</v>
      </c>
      <c r="F134" s="10">
        <f t="shared" si="177"/>
        <v>0.08</v>
      </c>
      <c r="G134" s="10">
        <f t="shared" si="177"/>
        <v>0.52865109600000004</v>
      </c>
      <c r="H134" s="10">
        <f t="shared" si="177"/>
        <v>0</v>
      </c>
      <c r="I134" s="10">
        <f t="shared" si="133"/>
        <v>2.322924000000004E-3</v>
      </c>
      <c r="J134" s="10">
        <f t="shared" si="134"/>
        <v>0.08</v>
      </c>
      <c r="K134" s="10">
        <v>0.08</v>
      </c>
      <c r="L134" s="10">
        <v>0</v>
      </c>
      <c r="M134" s="10">
        <v>0</v>
      </c>
      <c r="N134" s="10">
        <v>0</v>
      </c>
      <c r="O134" s="10">
        <f t="shared" si="135"/>
        <v>0.27232292400000002</v>
      </c>
      <c r="P134" s="10">
        <v>0</v>
      </c>
      <c r="Q134" s="10">
        <v>0</v>
      </c>
      <c r="R134" s="10">
        <v>0</v>
      </c>
      <c r="S134" s="10">
        <f>0.22693577*1.2</f>
        <v>0.27232292400000002</v>
      </c>
      <c r="T134" s="15">
        <f t="shared" si="136"/>
        <v>0.52865109600000004</v>
      </c>
      <c r="U134" s="15">
        <v>0</v>
      </c>
      <c r="V134" s="10">
        <v>0.52865109600000004</v>
      </c>
      <c r="W134" s="10">
        <v>0</v>
      </c>
      <c r="X134" s="10">
        <v>0</v>
      </c>
      <c r="Y134" s="17">
        <v>-0.27</v>
      </c>
      <c r="Z134" s="10">
        <v>0</v>
      </c>
      <c r="AA134" s="10">
        <v>0</v>
      </c>
      <c r="AB134" s="10">
        <v>0</v>
      </c>
      <c r="AC134" s="10">
        <v>-0.27</v>
      </c>
      <c r="AD134" s="19">
        <v>0.66</v>
      </c>
      <c r="AE134" s="10">
        <f t="shared" si="178"/>
        <v>0.50054258000000007</v>
      </c>
      <c r="AF134" s="10">
        <f t="shared" si="178"/>
        <v>0.06</v>
      </c>
      <c r="AG134" s="10">
        <f t="shared" si="178"/>
        <v>0.21360681000000001</v>
      </c>
      <c r="AH134" s="10">
        <f t="shared" si="178"/>
        <v>0</v>
      </c>
      <c r="AI134" s="10">
        <f t="shared" si="178"/>
        <v>0.22693577000000001</v>
      </c>
      <c r="AJ134" s="10">
        <f t="shared" si="142"/>
        <v>0.06</v>
      </c>
      <c r="AK134" s="10">
        <v>0.06</v>
      </c>
      <c r="AL134" s="10">
        <v>0</v>
      </c>
      <c r="AM134" s="10">
        <v>0</v>
      </c>
      <c r="AN134" s="10">
        <v>0</v>
      </c>
      <c r="AO134" s="10">
        <f>SUM(AP134:AS134)</f>
        <v>0.22693577000000001</v>
      </c>
      <c r="AP134" s="10">
        <v>0</v>
      </c>
      <c r="AQ134" s="10">
        <v>0</v>
      </c>
      <c r="AR134" s="10">
        <v>0</v>
      </c>
      <c r="AS134" s="10">
        <v>0.22693577000000001</v>
      </c>
      <c r="AT134" s="10">
        <f>SUM(AU134:AX134)</f>
        <v>0.21360681000000001</v>
      </c>
      <c r="AU134" s="10">
        <v>0</v>
      </c>
      <c r="AV134" s="10">
        <v>0.21360681000000001</v>
      </c>
      <c r="AW134" s="10">
        <v>0</v>
      </c>
      <c r="AX134" s="10">
        <v>0</v>
      </c>
      <c r="AY134" s="10">
        <v>0</v>
      </c>
      <c r="AZ134" s="10">
        <v>0</v>
      </c>
      <c r="BA134" s="10">
        <v>0</v>
      </c>
      <c r="BB134" s="10">
        <v>0</v>
      </c>
      <c r="BC134" s="10">
        <v>0</v>
      </c>
    </row>
    <row r="135" spans="1:55" ht="31.5" x14ac:dyDescent="0.25">
      <c r="A135" s="71" t="s">
        <v>160</v>
      </c>
      <c r="B135" s="36" t="s">
        <v>161</v>
      </c>
      <c r="C135" s="71" t="s">
        <v>77</v>
      </c>
      <c r="D135" s="16" t="s">
        <v>91</v>
      </c>
      <c r="E135" s="16" t="s">
        <v>91</v>
      </c>
      <c r="F135" s="16" t="s">
        <v>91</v>
      </c>
      <c r="G135" s="16" t="s">
        <v>91</v>
      </c>
      <c r="H135" s="16" t="s">
        <v>91</v>
      </c>
      <c r="I135" s="16" t="s">
        <v>91</v>
      </c>
      <c r="J135" s="16" t="s">
        <v>91</v>
      </c>
      <c r="K135" s="16" t="s">
        <v>91</v>
      </c>
      <c r="L135" s="16" t="s">
        <v>91</v>
      </c>
      <c r="M135" s="16" t="s">
        <v>91</v>
      </c>
      <c r="N135" s="16" t="s">
        <v>91</v>
      </c>
      <c r="O135" s="16" t="s">
        <v>91</v>
      </c>
      <c r="P135" s="16" t="s">
        <v>91</v>
      </c>
      <c r="Q135" s="16" t="s">
        <v>91</v>
      </c>
      <c r="R135" s="16" t="s">
        <v>91</v>
      </c>
      <c r="S135" s="16" t="s">
        <v>91</v>
      </c>
      <c r="T135" s="16" t="s">
        <v>91</v>
      </c>
      <c r="U135" s="16" t="s">
        <v>91</v>
      </c>
      <c r="V135" s="16" t="s">
        <v>91</v>
      </c>
      <c r="W135" s="16" t="s">
        <v>91</v>
      </c>
      <c r="X135" s="16" t="s">
        <v>91</v>
      </c>
      <c r="Y135" s="16" t="s">
        <v>91</v>
      </c>
      <c r="Z135" s="16" t="s">
        <v>91</v>
      </c>
      <c r="AA135" s="16" t="s">
        <v>91</v>
      </c>
      <c r="AB135" s="16" t="s">
        <v>91</v>
      </c>
      <c r="AC135" s="16" t="s">
        <v>91</v>
      </c>
      <c r="AD135" s="10" t="s">
        <v>91</v>
      </c>
      <c r="AE135" s="16" t="s">
        <v>91</v>
      </c>
      <c r="AF135" s="16" t="s">
        <v>91</v>
      </c>
      <c r="AG135" s="16" t="s">
        <v>91</v>
      </c>
      <c r="AH135" s="16" t="s">
        <v>91</v>
      </c>
      <c r="AI135" s="16" t="s">
        <v>91</v>
      </c>
      <c r="AJ135" s="16" t="s">
        <v>91</v>
      </c>
      <c r="AK135" s="16" t="s">
        <v>91</v>
      </c>
      <c r="AL135" s="16" t="s">
        <v>91</v>
      </c>
      <c r="AM135" s="16" t="s">
        <v>91</v>
      </c>
      <c r="AN135" s="16" t="s">
        <v>91</v>
      </c>
      <c r="AO135" s="16" t="s">
        <v>91</v>
      </c>
      <c r="AP135" s="16" t="s">
        <v>91</v>
      </c>
      <c r="AQ135" s="16" t="s">
        <v>91</v>
      </c>
      <c r="AR135" s="16" t="s">
        <v>91</v>
      </c>
      <c r="AS135" s="16" t="s">
        <v>91</v>
      </c>
      <c r="AT135" s="16" t="s">
        <v>91</v>
      </c>
      <c r="AU135" s="16" t="s">
        <v>91</v>
      </c>
      <c r="AV135" s="16" t="s">
        <v>91</v>
      </c>
      <c r="AW135" s="16" t="s">
        <v>91</v>
      </c>
      <c r="AX135" s="16" t="s">
        <v>91</v>
      </c>
      <c r="AY135" s="16" t="s">
        <v>91</v>
      </c>
      <c r="AZ135" s="16" t="s">
        <v>91</v>
      </c>
      <c r="BA135" s="16" t="s">
        <v>91</v>
      </c>
      <c r="BB135" s="16" t="s">
        <v>91</v>
      </c>
      <c r="BC135" s="16" t="s">
        <v>91</v>
      </c>
    </row>
    <row r="136" spans="1:55" ht="31.5" x14ac:dyDescent="0.25">
      <c r="A136" s="41" t="s">
        <v>162</v>
      </c>
      <c r="B136" s="53" t="s">
        <v>163</v>
      </c>
      <c r="C136" s="71" t="s">
        <v>77</v>
      </c>
      <c r="D136" s="16">
        <f>SUM(D137:D145)</f>
        <v>10.594999999999999</v>
      </c>
      <c r="E136" s="16">
        <f t="shared" ref="E136:AI136" si="179">SUM(E137:E145)</f>
        <v>12.880102131999999</v>
      </c>
      <c r="F136" s="16">
        <f t="shared" si="179"/>
        <v>0</v>
      </c>
      <c r="G136" s="16">
        <f t="shared" si="179"/>
        <v>0</v>
      </c>
      <c r="H136" s="16">
        <f t="shared" si="179"/>
        <v>0</v>
      </c>
      <c r="I136" s="16">
        <f t="shared" si="179"/>
        <v>12.880102131999999</v>
      </c>
      <c r="J136" s="16">
        <f t="shared" si="179"/>
        <v>2.4849999999999994</v>
      </c>
      <c r="K136" s="16">
        <f t="shared" si="179"/>
        <v>0</v>
      </c>
      <c r="L136" s="16">
        <f t="shared" si="179"/>
        <v>0</v>
      </c>
      <c r="M136" s="16">
        <f t="shared" si="179"/>
        <v>0</v>
      </c>
      <c r="N136" s="16">
        <f t="shared" si="179"/>
        <v>2.4849999999999994</v>
      </c>
      <c r="O136" s="16">
        <f t="shared" si="179"/>
        <v>2.660367564</v>
      </c>
      <c r="P136" s="16">
        <f t="shared" si="179"/>
        <v>0</v>
      </c>
      <c r="Q136" s="16">
        <f t="shared" si="179"/>
        <v>0</v>
      </c>
      <c r="R136" s="16">
        <f t="shared" si="179"/>
        <v>0</v>
      </c>
      <c r="S136" s="16">
        <f t="shared" si="179"/>
        <v>2.660367564</v>
      </c>
      <c r="T136" s="16">
        <f t="shared" si="179"/>
        <v>2.3947345680000001</v>
      </c>
      <c r="U136" s="16">
        <f t="shared" si="179"/>
        <v>0</v>
      </c>
      <c r="V136" s="16">
        <f t="shared" si="179"/>
        <v>0</v>
      </c>
      <c r="W136" s="16">
        <f t="shared" si="179"/>
        <v>0</v>
      </c>
      <c r="X136" s="16">
        <f t="shared" si="179"/>
        <v>2.3947345680000001</v>
      </c>
      <c r="Y136" s="16">
        <f t="shared" si="179"/>
        <v>5.34</v>
      </c>
      <c r="Z136" s="16">
        <f t="shared" si="179"/>
        <v>0</v>
      </c>
      <c r="AA136" s="16">
        <f t="shared" si="179"/>
        <v>0</v>
      </c>
      <c r="AB136" s="16">
        <f t="shared" si="179"/>
        <v>0</v>
      </c>
      <c r="AC136" s="16">
        <f t="shared" si="179"/>
        <v>5.34</v>
      </c>
      <c r="AD136" s="16">
        <f t="shared" si="179"/>
        <v>1.22</v>
      </c>
      <c r="AE136" s="16">
        <f t="shared" si="179"/>
        <v>0.29136083000000002</v>
      </c>
      <c r="AF136" s="16">
        <f t="shared" si="179"/>
        <v>0</v>
      </c>
      <c r="AG136" s="16">
        <f t="shared" si="179"/>
        <v>0</v>
      </c>
      <c r="AH136" s="16">
        <f t="shared" si="179"/>
        <v>0</v>
      </c>
      <c r="AI136" s="16">
        <f t="shared" si="179"/>
        <v>0.29136083000000002</v>
      </c>
      <c r="AJ136" s="16">
        <f t="shared" ref="AJ136:BC136" si="180">SUM(AJ137:AJ145)</f>
        <v>7.0000000000000007E-2</v>
      </c>
      <c r="AK136" s="16">
        <f t="shared" si="180"/>
        <v>0</v>
      </c>
      <c r="AL136" s="16">
        <f t="shared" si="180"/>
        <v>0</v>
      </c>
      <c r="AM136" s="16">
        <f t="shared" si="180"/>
        <v>0</v>
      </c>
      <c r="AN136" s="16">
        <f t="shared" si="180"/>
        <v>7.0000000000000007E-2</v>
      </c>
      <c r="AO136" s="16">
        <f t="shared" si="180"/>
        <v>0.22136083000000001</v>
      </c>
      <c r="AP136" s="16">
        <f t="shared" si="180"/>
        <v>0</v>
      </c>
      <c r="AQ136" s="16">
        <f t="shared" si="180"/>
        <v>0</v>
      </c>
      <c r="AR136" s="16">
        <f t="shared" si="180"/>
        <v>0</v>
      </c>
      <c r="AS136" s="16">
        <f t="shared" si="180"/>
        <v>0.22136083000000001</v>
      </c>
      <c r="AT136" s="16">
        <f t="shared" si="180"/>
        <v>0</v>
      </c>
      <c r="AU136" s="16">
        <f t="shared" si="180"/>
        <v>0</v>
      </c>
      <c r="AV136" s="16">
        <f t="shared" si="180"/>
        <v>0</v>
      </c>
      <c r="AW136" s="16">
        <f t="shared" si="180"/>
        <v>0</v>
      </c>
      <c r="AX136" s="16">
        <f t="shared" si="180"/>
        <v>0</v>
      </c>
      <c r="AY136" s="16">
        <f t="shared" si="180"/>
        <v>0</v>
      </c>
      <c r="AZ136" s="16">
        <f t="shared" si="180"/>
        <v>0</v>
      </c>
      <c r="BA136" s="16">
        <f t="shared" si="180"/>
        <v>0</v>
      </c>
      <c r="BB136" s="16">
        <f t="shared" si="180"/>
        <v>0</v>
      </c>
      <c r="BC136" s="16">
        <f t="shared" si="180"/>
        <v>0</v>
      </c>
    </row>
    <row r="137" spans="1:55" x14ac:dyDescent="0.25">
      <c r="A137" s="12" t="s">
        <v>164</v>
      </c>
      <c r="B137" s="61" t="s">
        <v>273</v>
      </c>
      <c r="C137" s="61" t="s">
        <v>175</v>
      </c>
      <c r="D137" s="62">
        <v>0.6</v>
      </c>
      <c r="E137" s="10">
        <f t="shared" ref="E137:I145" si="181">J137+O137+T137+Y137</f>
        <v>1.33848308</v>
      </c>
      <c r="F137" s="10">
        <f t="shared" si="181"/>
        <v>0</v>
      </c>
      <c r="G137" s="10">
        <f t="shared" si="181"/>
        <v>0</v>
      </c>
      <c r="H137" s="10">
        <f t="shared" si="181"/>
        <v>0</v>
      </c>
      <c r="I137" s="10">
        <f t="shared" si="181"/>
        <v>1.33848308</v>
      </c>
      <c r="J137" s="17">
        <v>0.15</v>
      </c>
      <c r="K137" s="10">
        <v>0</v>
      </c>
      <c r="L137" s="10">
        <v>0</v>
      </c>
      <c r="M137" s="10">
        <v>0</v>
      </c>
      <c r="N137" s="10">
        <v>0.15</v>
      </c>
      <c r="O137" s="10">
        <f>SUM(P137:S137)</f>
        <v>0.14924154000000001</v>
      </c>
      <c r="P137" s="10">
        <v>0</v>
      </c>
      <c r="Q137" s="10">
        <v>0</v>
      </c>
      <c r="R137" s="10">
        <v>0</v>
      </c>
      <c r="S137" s="10">
        <f>0.12436795*1.2</f>
        <v>0.14924154000000001</v>
      </c>
      <c r="T137" s="10">
        <f>SUM(U137:X137)</f>
        <v>0.14924154000000001</v>
      </c>
      <c r="U137" s="10">
        <v>0</v>
      </c>
      <c r="V137" s="10">
        <v>0</v>
      </c>
      <c r="W137" s="10">
        <v>0</v>
      </c>
      <c r="X137" s="10">
        <v>0.14924154000000001</v>
      </c>
      <c r="Y137" s="10">
        <f t="shared" ref="Y137:Y141" si="182">SUM(Z137:AC137)</f>
        <v>0.89</v>
      </c>
      <c r="Z137" s="10">
        <v>0</v>
      </c>
      <c r="AA137" s="10">
        <v>0</v>
      </c>
      <c r="AB137" s="10">
        <v>0</v>
      </c>
      <c r="AC137" s="10">
        <v>0.89</v>
      </c>
      <c r="AD137" s="62" t="s">
        <v>91</v>
      </c>
      <c r="AE137" s="10">
        <f t="shared" ref="AE137:AI145" si="183">AJ137+AO137+AT137+AY137</f>
        <v>0</v>
      </c>
      <c r="AF137" s="10">
        <f t="shared" si="183"/>
        <v>0</v>
      </c>
      <c r="AG137" s="10">
        <f t="shared" si="183"/>
        <v>0</v>
      </c>
      <c r="AH137" s="10">
        <f t="shared" si="183"/>
        <v>0</v>
      </c>
      <c r="AI137" s="10">
        <f t="shared" si="183"/>
        <v>0</v>
      </c>
      <c r="AJ137" s="10">
        <v>0</v>
      </c>
      <c r="AK137" s="10">
        <v>0</v>
      </c>
      <c r="AL137" s="10">
        <v>0</v>
      </c>
      <c r="AM137" s="10">
        <v>0</v>
      </c>
      <c r="AN137" s="10">
        <v>0</v>
      </c>
      <c r="AO137" s="10">
        <f t="shared" ref="AO137:AO142" si="184">SUM(AP137:AS137)</f>
        <v>0</v>
      </c>
      <c r="AP137" s="10">
        <v>0</v>
      </c>
      <c r="AQ137" s="10">
        <v>0</v>
      </c>
      <c r="AR137" s="10">
        <v>0</v>
      </c>
      <c r="AS137" s="10">
        <v>0</v>
      </c>
      <c r="AT137" s="10">
        <f>SUM(AU137:AX137)</f>
        <v>0</v>
      </c>
      <c r="AU137" s="10">
        <v>0</v>
      </c>
      <c r="AV137" s="10">
        <v>0</v>
      </c>
      <c r="AW137" s="10">
        <v>0</v>
      </c>
      <c r="AX137" s="10">
        <v>0</v>
      </c>
      <c r="AY137" s="10">
        <f>SUM(AZ137:BC137)</f>
        <v>0</v>
      </c>
      <c r="AZ137" s="10">
        <v>0</v>
      </c>
      <c r="BA137" s="10">
        <v>0</v>
      </c>
      <c r="BB137" s="10">
        <v>0</v>
      </c>
      <c r="BC137" s="10">
        <v>0</v>
      </c>
    </row>
    <row r="138" spans="1:55" x14ac:dyDescent="0.25">
      <c r="A138" s="12" t="s">
        <v>434</v>
      </c>
      <c r="B138" s="38" t="s">
        <v>375</v>
      </c>
      <c r="C138" s="61" t="s">
        <v>376</v>
      </c>
      <c r="D138" s="62">
        <v>1.365</v>
      </c>
      <c r="E138" s="10">
        <f t="shared" ref="E138" si="185">J138+O138+T138+Y138</f>
        <v>0</v>
      </c>
      <c r="F138" s="10">
        <f t="shared" ref="F138" si="186">K138+P138+U138+Z138</f>
        <v>0</v>
      </c>
      <c r="G138" s="10">
        <f t="shared" ref="G138" si="187">L138+Q138+V138+AA138</f>
        <v>0</v>
      </c>
      <c r="H138" s="10">
        <f t="shared" ref="H138" si="188">M138+R138+W138+AB138</f>
        <v>0</v>
      </c>
      <c r="I138" s="10">
        <f t="shared" ref="I138" si="189">N138+S138+X138+AC138</f>
        <v>0</v>
      </c>
      <c r="J138" s="17">
        <v>0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62">
        <v>1.1399999999999999</v>
      </c>
      <c r="AE138" s="10">
        <f t="shared" ref="AE138" si="190">AJ138+AO138+AT138+AY138</f>
        <v>0</v>
      </c>
      <c r="AF138" s="10">
        <f t="shared" ref="AF138" si="191">AK138+AP138+AU138+AZ138</f>
        <v>0</v>
      </c>
      <c r="AG138" s="10">
        <f t="shared" ref="AG138" si="192">AL138+AQ138+AV138+BA138</f>
        <v>0</v>
      </c>
      <c r="AH138" s="10">
        <f t="shared" ref="AH138" si="193">AM138+AR138+AW138+BB138</f>
        <v>0</v>
      </c>
      <c r="AI138" s="10">
        <f t="shared" ref="AI138" si="194">AN138+AS138+AX138+BC138</f>
        <v>0</v>
      </c>
      <c r="AJ138" s="10">
        <v>0</v>
      </c>
      <c r="AK138" s="10">
        <v>0</v>
      </c>
      <c r="AL138" s="10">
        <v>0</v>
      </c>
      <c r="AM138" s="10">
        <v>0</v>
      </c>
      <c r="AN138" s="10">
        <v>0</v>
      </c>
      <c r="AO138" s="10">
        <f t="shared" ref="AO138" si="195">SUM(AP138:AS138)</f>
        <v>0</v>
      </c>
      <c r="AP138" s="10">
        <v>0</v>
      </c>
      <c r="AQ138" s="10">
        <v>0</v>
      </c>
      <c r="AR138" s="10">
        <v>0</v>
      </c>
      <c r="AS138" s="10">
        <v>0</v>
      </c>
      <c r="AT138" s="10">
        <f>SUM(AU138:AX138)</f>
        <v>0</v>
      </c>
      <c r="AU138" s="10">
        <v>0</v>
      </c>
      <c r="AV138" s="10">
        <v>0</v>
      </c>
      <c r="AW138" s="10">
        <v>0</v>
      </c>
      <c r="AX138" s="10">
        <v>0</v>
      </c>
      <c r="AY138" s="10">
        <f>SUM(AZ138:BC138)</f>
        <v>0</v>
      </c>
      <c r="AZ138" s="10">
        <v>0</v>
      </c>
      <c r="BA138" s="10">
        <v>0</v>
      </c>
      <c r="BB138" s="10">
        <v>0</v>
      </c>
      <c r="BC138" s="10">
        <v>0</v>
      </c>
    </row>
    <row r="139" spans="1:55" x14ac:dyDescent="0.25">
      <c r="A139" s="12" t="s">
        <v>167</v>
      </c>
      <c r="B139" s="61" t="s">
        <v>274</v>
      </c>
      <c r="C139" s="61" t="s">
        <v>177</v>
      </c>
      <c r="D139" s="62">
        <v>0.6</v>
      </c>
      <c r="E139" s="10">
        <f t="shared" si="181"/>
        <v>1.33848308</v>
      </c>
      <c r="F139" s="10">
        <f t="shared" si="181"/>
        <v>0</v>
      </c>
      <c r="G139" s="10">
        <f t="shared" si="181"/>
        <v>0</v>
      </c>
      <c r="H139" s="10">
        <f t="shared" si="181"/>
        <v>0</v>
      </c>
      <c r="I139" s="10">
        <f t="shared" si="181"/>
        <v>1.33848308</v>
      </c>
      <c r="J139" s="17">
        <v>0.15</v>
      </c>
      <c r="K139" s="10">
        <v>0</v>
      </c>
      <c r="L139" s="10">
        <v>0</v>
      </c>
      <c r="M139" s="10">
        <v>0</v>
      </c>
      <c r="N139" s="10">
        <v>0.15</v>
      </c>
      <c r="O139" s="10">
        <f t="shared" ref="O139:O142" si="196">SUM(P139:S139)</f>
        <v>0.14924154000000001</v>
      </c>
      <c r="P139" s="10">
        <v>0</v>
      </c>
      <c r="Q139" s="10">
        <v>0</v>
      </c>
      <c r="R139" s="10">
        <v>0</v>
      </c>
      <c r="S139" s="10">
        <f>0.12436795*1.2</f>
        <v>0.14924154000000001</v>
      </c>
      <c r="T139" s="10">
        <f t="shared" ref="T139:T145" si="197">SUM(U139:X139)</f>
        <v>0.14924154000000001</v>
      </c>
      <c r="U139" s="10">
        <v>0</v>
      </c>
      <c r="V139" s="10">
        <v>0</v>
      </c>
      <c r="W139" s="10">
        <v>0</v>
      </c>
      <c r="X139" s="10">
        <v>0.14924154000000001</v>
      </c>
      <c r="Y139" s="10">
        <f t="shared" si="182"/>
        <v>0.89</v>
      </c>
      <c r="Z139" s="10">
        <v>0</v>
      </c>
      <c r="AA139" s="10">
        <v>0</v>
      </c>
      <c r="AB139" s="10">
        <v>0</v>
      </c>
      <c r="AC139" s="10">
        <v>0.89</v>
      </c>
      <c r="AD139" s="62" t="s">
        <v>91</v>
      </c>
      <c r="AE139" s="10">
        <f t="shared" si="183"/>
        <v>0</v>
      </c>
      <c r="AF139" s="10">
        <f t="shared" si="183"/>
        <v>0</v>
      </c>
      <c r="AG139" s="10">
        <f t="shared" si="183"/>
        <v>0</v>
      </c>
      <c r="AH139" s="10">
        <f t="shared" si="183"/>
        <v>0</v>
      </c>
      <c r="AI139" s="10">
        <f t="shared" si="183"/>
        <v>0</v>
      </c>
      <c r="AJ139" s="10">
        <v>0</v>
      </c>
      <c r="AK139" s="10">
        <v>0</v>
      </c>
      <c r="AL139" s="10">
        <v>0</v>
      </c>
      <c r="AM139" s="10">
        <v>0</v>
      </c>
      <c r="AN139" s="10">
        <v>0</v>
      </c>
      <c r="AO139" s="10">
        <f t="shared" si="184"/>
        <v>0</v>
      </c>
      <c r="AP139" s="10">
        <v>0</v>
      </c>
      <c r="AQ139" s="10">
        <v>0</v>
      </c>
      <c r="AR139" s="10">
        <v>0</v>
      </c>
      <c r="AS139" s="10">
        <v>0</v>
      </c>
      <c r="AT139" s="10">
        <f t="shared" ref="AT139:AT145" si="198">SUM(AU139:AX139)</f>
        <v>0</v>
      </c>
      <c r="AU139" s="10">
        <v>0</v>
      </c>
      <c r="AV139" s="10">
        <v>0</v>
      </c>
      <c r="AW139" s="10">
        <v>0</v>
      </c>
      <c r="AX139" s="10">
        <v>0</v>
      </c>
      <c r="AY139" s="10">
        <f t="shared" ref="AY139:AY145" si="199">SUM(AZ139:BC139)</f>
        <v>0</v>
      </c>
      <c r="AZ139" s="10">
        <v>0</v>
      </c>
      <c r="BA139" s="10">
        <v>0</v>
      </c>
      <c r="BB139" s="10">
        <v>0</v>
      </c>
      <c r="BC139" s="10">
        <v>0</v>
      </c>
    </row>
    <row r="140" spans="1:55" x14ac:dyDescent="0.25">
      <c r="A140" s="12" t="s">
        <v>168</v>
      </c>
      <c r="B140" s="63" t="s">
        <v>165</v>
      </c>
      <c r="C140" s="31" t="s">
        <v>166</v>
      </c>
      <c r="D140" s="62">
        <v>2.71</v>
      </c>
      <c r="E140" s="10">
        <f t="shared" si="181"/>
        <v>3.1499971520000001</v>
      </c>
      <c r="F140" s="10">
        <f t="shared" si="181"/>
        <v>0</v>
      </c>
      <c r="G140" s="10">
        <f t="shared" si="181"/>
        <v>0</v>
      </c>
      <c r="H140" s="10">
        <f t="shared" si="181"/>
        <v>0</v>
      </c>
      <c r="I140" s="10">
        <f t="shared" si="181"/>
        <v>3.1499971520000001</v>
      </c>
      <c r="J140" s="17">
        <v>0.59</v>
      </c>
      <c r="K140" s="10">
        <v>0</v>
      </c>
      <c r="L140" s="10">
        <v>0</v>
      </c>
      <c r="M140" s="10">
        <v>0</v>
      </c>
      <c r="N140" s="10">
        <v>0.59</v>
      </c>
      <c r="O140" s="10">
        <f t="shared" si="196"/>
        <v>0.58999857599999994</v>
      </c>
      <c r="P140" s="10">
        <v>0</v>
      </c>
      <c r="Q140" s="10">
        <v>0</v>
      </c>
      <c r="R140" s="10">
        <v>0</v>
      </c>
      <c r="S140" s="10">
        <f>0.49166548*1.2</f>
        <v>0.58999857599999994</v>
      </c>
      <c r="T140" s="10">
        <f t="shared" si="197"/>
        <v>0.58999857599999994</v>
      </c>
      <c r="U140" s="10">
        <v>0</v>
      </c>
      <c r="V140" s="10">
        <v>0</v>
      </c>
      <c r="W140" s="10">
        <v>0</v>
      </c>
      <c r="X140" s="10">
        <v>0.58999857599999994</v>
      </c>
      <c r="Y140" s="10">
        <f t="shared" si="182"/>
        <v>1.38</v>
      </c>
      <c r="Z140" s="10">
        <v>0</v>
      </c>
      <c r="AA140" s="10">
        <v>0</v>
      </c>
      <c r="AB140" s="10">
        <v>0</v>
      </c>
      <c r="AC140" s="10">
        <v>1.38</v>
      </c>
      <c r="AD140" s="62" t="s">
        <v>91</v>
      </c>
      <c r="AE140" s="10">
        <f t="shared" si="183"/>
        <v>0</v>
      </c>
      <c r="AF140" s="10">
        <f t="shared" si="183"/>
        <v>0</v>
      </c>
      <c r="AG140" s="10">
        <f t="shared" si="183"/>
        <v>0</v>
      </c>
      <c r="AH140" s="10">
        <f t="shared" si="183"/>
        <v>0</v>
      </c>
      <c r="AI140" s="10">
        <f t="shared" si="183"/>
        <v>0</v>
      </c>
      <c r="AJ140" s="10">
        <v>0</v>
      </c>
      <c r="AK140" s="10">
        <v>0</v>
      </c>
      <c r="AL140" s="10">
        <v>0</v>
      </c>
      <c r="AM140" s="10">
        <v>0</v>
      </c>
      <c r="AN140" s="10">
        <v>0</v>
      </c>
      <c r="AO140" s="10">
        <f t="shared" si="184"/>
        <v>0</v>
      </c>
      <c r="AP140" s="10">
        <v>0</v>
      </c>
      <c r="AQ140" s="10">
        <v>0</v>
      </c>
      <c r="AR140" s="10">
        <v>0</v>
      </c>
      <c r="AS140" s="10">
        <v>0</v>
      </c>
      <c r="AT140" s="10">
        <f t="shared" si="198"/>
        <v>0</v>
      </c>
      <c r="AU140" s="10">
        <v>0</v>
      </c>
      <c r="AV140" s="10">
        <v>0</v>
      </c>
      <c r="AW140" s="10">
        <v>0</v>
      </c>
      <c r="AX140" s="10">
        <v>0</v>
      </c>
      <c r="AY140" s="10">
        <f t="shared" si="199"/>
        <v>0</v>
      </c>
      <c r="AZ140" s="10">
        <v>0</v>
      </c>
      <c r="BA140" s="10">
        <v>0</v>
      </c>
      <c r="BB140" s="10">
        <v>0</v>
      </c>
      <c r="BC140" s="10">
        <v>0</v>
      </c>
    </row>
    <row r="141" spans="1:55" x14ac:dyDescent="0.25">
      <c r="A141" s="12" t="s">
        <v>171</v>
      </c>
      <c r="B141" s="42" t="s">
        <v>172</v>
      </c>
      <c r="C141" s="45" t="s">
        <v>173</v>
      </c>
      <c r="D141" s="62">
        <v>0.6</v>
      </c>
      <c r="E141" s="10">
        <f>J141+O141+T141+Y141</f>
        <v>0.60206599199999999</v>
      </c>
      <c r="F141" s="10">
        <f>K141+P141+U141+Z141</f>
        <v>0</v>
      </c>
      <c r="G141" s="10">
        <f>L141+Q141+V141+AA141</f>
        <v>0</v>
      </c>
      <c r="H141" s="10">
        <f>M141+R141+W141+AB141</f>
        <v>0</v>
      </c>
      <c r="I141" s="10">
        <f>N141+S141+X141+AC141</f>
        <v>0.60206599199999999</v>
      </c>
      <c r="J141" s="17">
        <v>0.18</v>
      </c>
      <c r="K141" s="10">
        <v>0</v>
      </c>
      <c r="L141" s="10">
        <v>0</v>
      </c>
      <c r="M141" s="10">
        <v>0</v>
      </c>
      <c r="N141" s="10">
        <v>0.18</v>
      </c>
      <c r="O141" s="10">
        <f>SUM(P141:S141)</f>
        <v>0.181032996</v>
      </c>
      <c r="P141" s="10">
        <v>0</v>
      </c>
      <c r="Q141" s="10">
        <v>0</v>
      </c>
      <c r="R141" s="10">
        <v>0</v>
      </c>
      <c r="S141" s="10">
        <f>0.15086083*1.2</f>
        <v>0.181032996</v>
      </c>
      <c r="T141" s="10">
        <f t="shared" si="197"/>
        <v>0.181032996</v>
      </c>
      <c r="U141" s="10">
        <v>0</v>
      </c>
      <c r="V141" s="10">
        <v>0</v>
      </c>
      <c r="W141" s="10">
        <v>0</v>
      </c>
      <c r="X141" s="10">
        <v>0.181032996</v>
      </c>
      <c r="Y141" s="10">
        <f t="shared" si="182"/>
        <v>0.06</v>
      </c>
      <c r="Z141" s="10">
        <v>0</v>
      </c>
      <c r="AA141" s="10">
        <v>0</v>
      </c>
      <c r="AB141" s="10">
        <v>0</v>
      </c>
      <c r="AC141" s="10">
        <v>0.06</v>
      </c>
      <c r="AD141" s="62" t="s">
        <v>91</v>
      </c>
      <c r="AE141" s="10">
        <f>AJ141+AO141+AT141+AY141</f>
        <v>0</v>
      </c>
      <c r="AF141" s="10">
        <f>AK141+AP141+AU141+AZ141</f>
        <v>0</v>
      </c>
      <c r="AG141" s="10">
        <f>AL141+AQ141+AV141+BA141</f>
        <v>0</v>
      </c>
      <c r="AH141" s="10">
        <f>AM141+AR141+AW141+BB141</f>
        <v>0</v>
      </c>
      <c r="AI141" s="10">
        <f>AN141+AS141+AX141+BC141</f>
        <v>0</v>
      </c>
      <c r="AJ141" s="10">
        <v>0</v>
      </c>
      <c r="AK141" s="10">
        <v>0</v>
      </c>
      <c r="AL141" s="10">
        <v>0</v>
      </c>
      <c r="AM141" s="10">
        <v>0</v>
      </c>
      <c r="AN141" s="10">
        <v>0</v>
      </c>
      <c r="AO141" s="10">
        <f>SUM(AP141:AS141)</f>
        <v>0</v>
      </c>
      <c r="AP141" s="10">
        <v>0</v>
      </c>
      <c r="AQ141" s="10">
        <v>0</v>
      </c>
      <c r="AR141" s="10">
        <v>0</v>
      </c>
      <c r="AS141" s="10">
        <v>0</v>
      </c>
      <c r="AT141" s="10">
        <f t="shared" si="198"/>
        <v>0</v>
      </c>
      <c r="AU141" s="10">
        <v>0</v>
      </c>
      <c r="AV141" s="10">
        <v>0</v>
      </c>
      <c r="AW141" s="10">
        <v>0</v>
      </c>
      <c r="AX141" s="10">
        <v>0</v>
      </c>
      <c r="AY141" s="10">
        <f t="shared" si="199"/>
        <v>0</v>
      </c>
      <c r="AZ141" s="10">
        <v>0</v>
      </c>
      <c r="BA141" s="10">
        <v>0</v>
      </c>
      <c r="BB141" s="10">
        <v>0</v>
      </c>
      <c r="BC141" s="10">
        <v>0</v>
      </c>
    </row>
    <row r="142" spans="1:55" x14ac:dyDescent="0.25">
      <c r="A142" s="12" t="s">
        <v>435</v>
      </c>
      <c r="B142" s="61" t="s">
        <v>273</v>
      </c>
      <c r="C142" s="61" t="s">
        <v>179</v>
      </c>
      <c r="D142" s="62">
        <v>0.6</v>
      </c>
      <c r="E142" s="10">
        <f t="shared" si="181"/>
        <v>1.33848308</v>
      </c>
      <c r="F142" s="10">
        <f t="shared" si="181"/>
        <v>0</v>
      </c>
      <c r="G142" s="10">
        <f t="shared" si="181"/>
        <v>0</v>
      </c>
      <c r="H142" s="10">
        <f t="shared" si="181"/>
        <v>0</v>
      </c>
      <c r="I142" s="10">
        <f t="shared" si="181"/>
        <v>1.33848308</v>
      </c>
      <c r="J142" s="17">
        <v>0.15</v>
      </c>
      <c r="K142" s="10">
        <v>0</v>
      </c>
      <c r="L142" s="10">
        <v>0</v>
      </c>
      <c r="M142" s="10">
        <v>0</v>
      </c>
      <c r="N142" s="10">
        <v>0.15</v>
      </c>
      <c r="O142" s="10">
        <f t="shared" si="196"/>
        <v>0.14924154000000001</v>
      </c>
      <c r="P142" s="10">
        <v>0</v>
      </c>
      <c r="Q142" s="10">
        <v>0</v>
      </c>
      <c r="R142" s="10">
        <v>0</v>
      </c>
      <c r="S142" s="10">
        <f>0.12436795*1.2</f>
        <v>0.14924154000000001</v>
      </c>
      <c r="T142" s="10">
        <f t="shared" si="197"/>
        <v>0.14924154000000001</v>
      </c>
      <c r="U142" s="10">
        <v>0</v>
      </c>
      <c r="V142" s="10">
        <v>0</v>
      </c>
      <c r="W142" s="10">
        <v>0</v>
      </c>
      <c r="X142" s="10">
        <v>0.14924154000000001</v>
      </c>
      <c r="Y142" s="10">
        <f>SUM(Z142:AC142)</f>
        <v>0.89</v>
      </c>
      <c r="Z142" s="10">
        <v>0</v>
      </c>
      <c r="AA142" s="10">
        <v>0</v>
      </c>
      <c r="AB142" s="10">
        <v>0</v>
      </c>
      <c r="AC142" s="10">
        <v>0.89</v>
      </c>
      <c r="AD142" s="62" t="s">
        <v>91</v>
      </c>
      <c r="AE142" s="10">
        <f t="shared" si="183"/>
        <v>0</v>
      </c>
      <c r="AF142" s="10">
        <f t="shared" si="183"/>
        <v>0</v>
      </c>
      <c r="AG142" s="10">
        <f t="shared" si="183"/>
        <v>0</v>
      </c>
      <c r="AH142" s="10">
        <f t="shared" si="183"/>
        <v>0</v>
      </c>
      <c r="AI142" s="10">
        <f t="shared" si="183"/>
        <v>0</v>
      </c>
      <c r="AJ142" s="10">
        <v>0</v>
      </c>
      <c r="AK142" s="10">
        <v>0</v>
      </c>
      <c r="AL142" s="10">
        <v>0</v>
      </c>
      <c r="AM142" s="10">
        <v>0</v>
      </c>
      <c r="AN142" s="10">
        <v>0</v>
      </c>
      <c r="AO142" s="10">
        <f t="shared" si="184"/>
        <v>0</v>
      </c>
      <c r="AP142" s="10">
        <v>0</v>
      </c>
      <c r="AQ142" s="10">
        <v>0</v>
      </c>
      <c r="AR142" s="10">
        <v>0</v>
      </c>
      <c r="AS142" s="10">
        <v>0</v>
      </c>
      <c r="AT142" s="10">
        <f t="shared" si="198"/>
        <v>0</v>
      </c>
      <c r="AU142" s="10">
        <v>0</v>
      </c>
      <c r="AV142" s="10">
        <v>0</v>
      </c>
      <c r="AW142" s="10">
        <v>0</v>
      </c>
      <c r="AX142" s="10">
        <v>0</v>
      </c>
      <c r="AY142" s="10">
        <f t="shared" si="199"/>
        <v>0</v>
      </c>
      <c r="AZ142" s="10">
        <v>0</v>
      </c>
      <c r="BA142" s="10">
        <v>0</v>
      </c>
      <c r="BB142" s="10">
        <v>0</v>
      </c>
      <c r="BC142" s="10">
        <v>0</v>
      </c>
    </row>
    <row r="143" spans="1:55" x14ac:dyDescent="0.25">
      <c r="A143" s="12" t="s">
        <v>174</v>
      </c>
      <c r="B143" s="61" t="s">
        <v>275</v>
      </c>
      <c r="C143" s="61" t="s">
        <v>180</v>
      </c>
      <c r="D143" s="62">
        <v>0.6</v>
      </c>
      <c r="E143" s="10">
        <f t="shared" si="181"/>
        <v>1.33848308</v>
      </c>
      <c r="F143" s="10">
        <f t="shared" si="181"/>
        <v>0</v>
      </c>
      <c r="G143" s="10">
        <f t="shared" si="181"/>
        <v>0</v>
      </c>
      <c r="H143" s="10">
        <f t="shared" si="181"/>
        <v>0</v>
      </c>
      <c r="I143" s="10">
        <f t="shared" si="181"/>
        <v>1.33848308</v>
      </c>
      <c r="J143" s="17">
        <v>0.15</v>
      </c>
      <c r="K143" s="10">
        <v>0</v>
      </c>
      <c r="L143" s="10">
        <v>0</v>
      </c>
      <c r="M143" s="10">
        <v>0</v>
      </c>
      <c r="N143" s="10">
        <v>0.15</v>
      </c>
      <c r="O143" s="10">
        <f>SUM(P143:S143)</f>
        <v>0.14924154000000001</v>
      </c>
      <c r="P143" s="10">
        <v>0</v>
      </c>
      <c r="Q143" s="10">
        <v>0</v>
      </c>
      <c r="R143" s="10">
        <v>0</v>
      </c>
      <c r="S143" s="10">
        <f>0.12436795*1.2</f>
        <v>0.14924154000000001</v>
      </c>
      <c r="T143" s="10">
        <f t="shared" si="197"/>
        <v>0.14924154000000001</v>
      </c>
      <c r="U143" s="10">
        <v>0</v>
      </c>
      <c r="V143" s="10">
        <v>0</v>
      </c>
      <c r="W143" s="10">
        <v>0</v>
      </c>
      <c r="X143" s="10">
        <v>0.14924154000000001</v>
      </c>
      <c r="Y143" s="10">
        <f>SUM(Z143:AC143)</f>
        <v>0.89</v>
      </c>
      <c r="Z143" s="10">
        <v>0</v>
      </c>
      <c r="AA143" s="10">
        <v>0</v>
      </c>
      <c r="AB143" s="10">
        <v>0</v>
      </c>
      <c r="AC143" s="10">
        <v>0.89</v>
      </c>
      <c r="AD143" s="62" t="s">
        <v>91</v>
      </c>
      <c r="AE143" s="10">
        <f t="shared" si="183"/>
        <v>0</v>
      </c>
      <c r="AF143" s="10">
        <f t="shared" si="183"/>
        <v>0</v>
      </c>
      <c r="AG143" s="10">
        <f t="shared" si="183"/>
        <v>0</v>
      </c>
      <c r="AH143" s="10">
        <f t="shared" si="183"/>
        <v>0</v>
      </c>
      <c r="AI143" s="10">
        <f t="shared" si="183"/>
        <v>0</v>
      </c>
      <c r="AJ143" s="10">
        <v>0</v>
      </c>
      <c r="AK143" s="10">
        <v>0</v>
      </c>
      <c r="AL143" s="10">
        <v>0</v>
      </c>
      <c r="AM143" s="10">
        <v>0</v>
      </c>
      <c r="AN143" s="10">
        <v>0</v>
      </c>
      <c r="AO143" s="10">
        <f>SUM(AP143:AS143)</f>
        <v>0</v>
      </c>
      <c r="AP143" s="10">
        <v>0</v>
      </c>
      <c r="AQ143" s="10">
        <v>0</v>
      </c>
      <c r="AR143" s="10">
        <v>0</v>
      </c>
      <c r="AS143" s="10">
        <v>0</v>
      </c>
      <c r="AT143" s="10">
        <f t="shared" si="198"/>
        <v>0</v>
      </c>
      <c r="AU143" s="10">
        <v>0</v>
      </c>
      <c r="AV143" s="10">
        <v>0</v>
      </c>
      <c r="AW143" s="10">
        <v>0</v>
      </c>
      <c r="AX143" s="10">
        <v>0</v>
      </c>
      <c r="AY143" s="10">
        <f t="shared" si="199"/>
        <v>0</v>
      </c>
      <c r="AZ143" s="10">
        <v>0</v>
      </c>
      <c r="BA143" s="10">
        <v>0</v>
      </c>
      <c r="BB143" s="10">
        <v>0</v>
      </c>
      <c r="BC143" s="10">
        <v>0</v>
      </c>
    </row>
    <row r="144" spans="1:55" ht="31.5" x14ac:dyDescent="0.25">
      <c r="A144" s="12" t="s">
        <v>176</v>
      </c>
      <c r="B144" s="48" t="s">
        <v>169</v>
      </c>
      <c r="C144" s="31" t="s">
        <v>170</v>
      </c>
      <c r="D144" s="62">
        <v>0.1</v>
      </c>
      <c r="E144" s="10">
        <f t="shared" si="181"/>
        <v>0.35563299599999998</v>
      </c>
      <c r="F144" s="10">
        <f t="shared" si="181"/>
        <v>0</v>
      </c>
      <c r="G144" s="10">
        <f t="shared" si="181"/>
        <v>0</v>
      </c>
      <c r="H144" s="10">
        <f t="shared" si="181"/>
        <v>0</v>
      </c>
      <c r="I144" s="10">
        <f t="shared" si="181"/>
        <v>0.35563299599999998</v>
      </c>
      <c r="J144" s="17">
        <v>0.09</v>
      </c>
      <c r="K144" s="10">
        <v>0</v>
      </c>
      <c r="L144" s="10">
        <v>0</v>
      </c>
      <c r="M144" s="10">
        <v>0</v>
      </c>
      <c r="N144" s="10">
        <v>0.09</v>
      </c>
      <c r="O144" s="10">
        <f>SUM(P144:S144)</f>
        <v>0.26563299600000001</v>
      </c>
      <c r="P144" s="10">
        <v>0</v>
      </c>
      <c r="Q144" s="10">
        <v>0</v>
      </c>
      <c r="R144" s="10">
        <v>0</v>
      </c>
      <c r="S144" s="10">
        <f>0.22136083*1.2</f>
        <v>0.26563299600000001</v>
      </c>
      <c r="T144" s="10">
        <f t="shared" si="197"/>
        <v>0</v>
      </c>
      <c r="U144" s="10">
        <v>0</v>
      </c>
      <c r="V144" s="10">
        <v>0</v>
      </c>
      <c r="W144" s="10">
        <v>0</v>
      </c>
      <c r="X144" s="10">
        <v>0</v>
      </c>
      <c r="Y144" s="10">
        <f>SUM(Z144:AC144)</f>
        <v>0</v>
      </c>
      <c r="Z144" s="10">
        <v>0</v>
      </c>
      <c r="AA144" s="10">
        <v>0</v>
      </c>
      <c r="AB144" s="10">
        <v>0</v>
      </c>
      <c r="AC144" s="10">
        <v>0</v>
      </c>
      <c r="AD144" s="62">
        <v>0.08</v>
      </c>
      <c r="AE144" s="10">
        <f t="shared" si="183"/>
        <v>0.29136083000000002</v>
      </c>
      <c r="AF144" s="10">
        <f t="shared" si="183"/>
        <v>0</v>
      </c>
      <c r="AG144" s="10">
        <f t="shared" si="183"/>
        <v>0</v>
      </c>
      <c r="AH144" s="10">
        <f t="shared" si="183"/>
        <v>0</v>
      </c>
      <c r="AI144" s="10">
        <f t="shared" si="183"/>
        <v>0.29136083000000002</v>
      </c>
      <c r="AJ144" s="10">
        <v>7.0000000000000007E-2</v>
      </c>
      <c r="AK144" s="10">
        <v>0</v>
      </c>
      <c r="AL144" s="10">
        <v>0</v>
      </c>
      <c r="AM144" s="10">
        <v>0</v>
      </c>
      <c r="AN144" s="10">
        <v>7.0000000000000007E-2</v>
      </c>
      <c r="AO144" s="10">
        <f>SUM(AP144:AS144)</f>
        <v>0.22136083000000001</v>
      </c>
      <c r="AP144" s="10">
        <v>0</v>
      </c>
      <c r="AQ144" s="10">
        <v>0</v>
      </c>
      <c r="AR144" s="10">
        <v>0</v>
      </c>
      <c r="AS144" s="10">
        <v>0.22136083000000001</v>
      </c>
      <c r="AT144" s="10">
        <f t="shared" si="198"/>
        <v>0</v>
      </c>
      <c r="AU144" s="10">
        <v>0</v>
      </c>
      <c r="AV144" s="10">
        <v>0</v>
      </c>
      <c r="AW144" s="10">
        <v>0</v>
      </c>
      <c r="AX144" s="10">
        <v>0</v>
      </c>
      <c r="AY144" s="10">
        <f t="shared" si="199"/>
        <v>0</v>
      </c>
      <c r="AZ144" s="10">
        <v>0</v>
      </c>
      <c r="BA144" s="10">
        <v>0</v>
      </c>
      <c r="BB144" s="10">
        <v>0</v>
      </c>
      <c r="BC144" s="10">
        <v>0</v>
      </c>
    </row>
    <row r="145" spans="1:55" x14ac:dyDescent="0.25">
      <c r="A145" s="12" t="s">
        <v>178</v>
      </c>
      <c r="B145" s="40" t="s">
        <v>276</v>
      </c>
      <c r="C145" s="42" t="s">
        <v>181</v>
      </c>
      <c r="D145" s="62">
        <v>3.42</v>
      </c>
      <c r="E145" s="10">
        <f t="shared" si="181"/>
        <v>3.4184736719999997</v>
      </c>
      <c r="F145" s="10">
        <f t="shared" si="181"/>
        <v>0</v>
      </c>
      <c r="G145" s="10">
        <f t="shared" si="181"/>
        <v>0</v>
      </c>
      <c r="H145" s="10">
        <f t="shared" si="181"/>
        <v>0</v>
      </c>
      <c r="I145" s="10">
        <f t="shared" si="181"/>
        <v>3.4184736719999997</v>
      </c>
      <c r="J145" s="17">
        <v>1.0249999999999999</v>
      </c>
      <c r="K145" s="10">
        <v>0</v>
      </c>
      <c r="L145" s="10">
        <v>0</v>
      </c>
      <c r="M145" s="10">
        <v>0</v>
      </c>
      <c r="N145" s="10">
        <v>1.0249999999999999</v>
      </c>
      <c r="O145" s="10">
        <f>SUM(P145:S145)</f>
        <v>1.026736836</v>
      </c>
      <c r="P145" s="10">
        <v>0</v>
      </c>
      <c r="Q145" s="10">
        <v>0</v>
      </c>
      <c r="R145" s="10">
        <v>0</v>
      </c>
      <c r="S145" s="10">
        <f>0.85561403*1.2</f>
        <v>1.026736836</v>
      </c>
      <c r="T145" s="10">
        <f t="shared" si="197"/>
        <v>1.026736836</v>
      </c>
      <c r="U145" s="10">
        <v>0</v>
      </c>
      <c r="V145" s="10">
        <v>0</v>
      </c>
      <c r="W145" s="10">
        <v>0</v>
      </c>
      <c r="X145" s="10">
        <v>1.026736836</v>
      </c>
      <c r="Y145" s="10">
        <f>SUM(Z145:AC145)</f>
        <v>0.34</v>
      </c>
      <c r="Z145" s="10">
        <v>0</v>
      </c>
      <c r="AA145" s="10">
        <v>0</v>
      </c>
      <c r="AB145" s="10">
        <v>0</v>
      </c>
      <c r="AC145" s="10">
        <v>0.34</v>
      </c>
      <c r="AD145" s="62" t="s">
        <v>91</v>
      </c>
      <c r="AE145" s="10">
        <f t="shared" si="183"/>
        <v>0</v>
      </c>
      <c r="AF145" s="10">
        <f t="shared" si="183"/>
        <v>0</v>
      </c>
      <c r="AG145" s="10">
        <f t="shared" si="183"/>
        <v>0</v>
      </c>
      <c r="AH145" s="10">
        <f t="shared" si="183"/>
        <v>0</v>
      </c>
      <c r="AI145" s="10">
        <f t="shared" si="183"/>
        <v>0</v>
      </c>
      <c r="AJ145" s="10">
        <v>0</v>
      </c>
      <c r="AK145" s="10">
        <v>0</v>
      </c>
      <c r="AL145" s="10">
        <v>0</v>
      </c>
      <c r="AM145" s="10">
        <v>0</v>
      </c>
      <c r="AN145" s="10">
        <v>0</v>
      </c>
      <c r="AO145" s="10">
        <f>SUM(AP145:AS145)</f>
        <v>0</v>
      </c>
      <c r="AP145" s="10">
        <v>0</v>
      </c>
      <c r="AQ145" s="10">
        <v>0</v>
      </c>
      <c r="AR145" s="10">
        <v>0</v>
      </c>
      <c r="AS145" s="10">
        <v>0</v>
      </c>
      <c r="AT145" s="10">
        <f t="shared" si="198"/>
        <v>0</v>
      </c>
      <c r="AU145" s="10">
        <v>0</v>
      </c>
      <c r="AV145" s="10">
        <v>0</v>
      </c>
      <c r="AW145" s="10">
        <v>0</v>
      </c>
      <c r="AX145" s="10">
        <v>0</v>
      </c>
      <c r="AY145" s="10">
        <f t="shared" si="199"/>
        <v>0</v>
      </c>
      <c r="AZ145" s="10">
        <v>0</v>
      </c>
      <c r="BA145" s="10">
        <v>0</v>
      </c>
      <c r="BB145" s="10">
        <v>0</v>
      </c>
      <c r="BC145" s="10">
        <v>0</v>
      </c>
    </row>
  </sheetData>
  <mergeCells count="28">
    <mergeCell ref="W8:AK8"/>
    <mergeCell ref="AT2:BC2"/>
    <mergeCell ref="A4:BC4"/>
    <mergeCell ref="V5:W5"/>
    <mergeCell ref="X5:Y5"/>
    <mergeCell ref="Z5:AA5"/>
    <mergeCell ref="AV3:BC3"/>
    <mergeCell ref="AD17:AD18"/>
    <mergeCell ref="Z10:AA10"/>
    <mergeCell ref="Y12:AM12"/>
    <mergeCell ref="A15:A18"/>
    <mergeCell ref="B15:B18"/>
    <mergeCell ref="C15:C18"/>
    <mergeCell ref="D15:AC15"/>
    <mergeCell ref="AD15:BC15"/>
    <mergeCell ref="E16:AC16"/>
    <mergeCell ref="AE16:BC16"/>
    <mergeCell ref="D17:D18"/>
    <mergeCell ref="E17:I17"/>
    <mergeCell ref="J17:N17"/>
    <mergeCell ref="O17:S17"/>
    <mergeCell ref="T17:X17"/>
    <mergeCell ref="Y17:AC17"/>
    <mergeCell ref="AE17:AI17"/>
    <mergeCell ref="AJ17:AN17"/>
    <mergeCell ref="AO17:AS17"/>
    <mergeCell ref="AT17:AX17"/>
    <mergeCell ref="AY17:BC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9:B72 B110:B111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8" scale="4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2025-10-30T07:32:42Z</cp:lastPrinted>
  <dcterms:created xsi:type="dcterms:W3CDTF">2024-08-26T09:26:53Z</dcterms:created>
  <dcterms:modified xsi:type="dcterms:W3CDTF">2026-02-16T08:06:23Z</dcterms:modified>
</cp:coreProperties>
</file>